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960" yWindow="0" windowWidth="25040" windowHeight="15300" activeTab="4"/>
  </bookViews>
  <sheets>
    <sheet name="Basic Sheet" sheetId="1" r:id="rId1"/>
    <sheet name="Spells" sheetId="5" r:id="rId2"/>
    <sheet name="Gear" sheetId="6" r:id="rId3"/>
    <sheet name="Background" sheetId="13" r:id="rId4"/>
    <sheet name="Notes" sheetId="4" r:id="rId5"/>
    <sheet name="vals" sheetId="2" state="hidden" r:id="rId6"/>
    <sheet name="version" sheetId="8" state="hidden" r:id="rId7"/>
    <sheet name="test cases" sheetId="9" state="hidden" r:id="rId8"/>
    <sheet name="companion vals" sheetId="11" state="hidden" r:id="rId9"/>
  </sheets>
  <externalReferences>
    <externalReference r:id="rId10"/>
  </externalReferences>
  <definedNames>
    <definedName name="acrobaticRanks">'Basic Sheet'!$O$3</definedName>
    <definedName name="appraiseRanks">'Basic Sheet'!$O$4</definedName>
    <definedName name="arcanaRanks">'Basic Sheet'!$O$18</definedName>
    <definedName name="armor" localSheetId="3">'[1]Basic Sheet'!$C$15</definedName>
    <definedName name="armor">'Basic Sheet'!$C$15</definedName>
    <definedName name="armorMaxDex">'Basic Sheet'!$S$46</definedName>
    <definedName name="armorpen" localSheetId="3">'[1]Basic Sheet'!$R$44</definedName>
    <definedName name="armorpen">'Basic Sheet'!$S$44</definedName>
    <definedName name="attack1" localSheetId="3">[1]vals!$K$35</definedName>
    <definedName name="attack1">vals!$K$35</definedName>
    <definedName name="attack2" localSheetId="3">[1]vals!$K$36</definedName>
    <definedName name="attack2">vals!$K$36</definedName>
    <definedName name="attack3" localSheetId="3">[1]vals!$K$37</definedName>
    <definedName name="attack3">vals!$K$37</definedName>
    <definedName name="attack4" localSheetId="3">[1]vals!$K$38</definedName>
    <definedName name="attack4">vals!$K$38</definedName>
    <definedName name="attack5" localSheetId="3">[1]vals!$K$39</definedName>
    <definedName name="attack5">vals!$K$39</definedName>
    <definedName name="BAB" localSheetId="3">[1]vals!$K$3</definedName>
    <definedName name="BAB">vals!$K$3</definedName>
    <definedName name="backgrndInd">'Basic Sheet'!$W$8</definedName>
    <definedName name="backgrndSkillTot">'Basic Sheet'!$O$44</definedName>
    <definedName name="BackpackWeight" localSheetId="3">[1]Gear!$K$2</definedName>
    <definedName name="BackpackWeight">Gear!$K$2</definedName>
    <definedName name="baseHeavyCapac" localSheetId="3">[1]vals!$O$69</definedName>
    <definedName name="baseHeavyCapac">vals!$P$69</definedName>
    <definedName name="BaseLightCapac" localSheetId="3">[1]vals!$O$67</definedName>
    <definedName name="BaseLightCapac">vals!$P$67</definedName>
    <definedName name="BaseMedCapac" localSheetId="3">[1]vals!$O$68</definedName>
    <definedName name="BaseMedCapac">vals!$P$68</definedName>
    <definedName name="BGRemSkillTot">'Basic Sheet'!$N$44</definedName>
    <definedName name="BGSkillSum">vals!$K$43</definedName>
    <definedName name="BGSkillTot">'Basic Sheet'!$N$44</definedName>
    <definedName name="BGSkillTotal">vals!$K$42</definedName>
    <definedName name="bluffRanks">'Basic Sheet'!$O$5</definedName>
    <definedName name="CasterStat" localSheetId="3">[1]Spells!$I$12</definedName>
    <definedName name="CasterStat">Spells!$I$12</definedName>
    <definedName name="CastingStatMod" localSheetId="3">[1]vals!$K$29</definedName>
    <definedName name="CastingStatMod">vals!$K$29</definedName>
    <definedName name="cbase" localSheetId="3">'[1]Basic Sheet'!$D$9</definedName>
    <definedName name="cbase">'Basic Sheet'!$D$9</definedName>
    <definedName name="cbon" localSheetId="3">'[1]Basic Sheet'!$C$9</definedName>
    <definedName name="cbon">'Basic Sheet'!$C$9</definedName>
    <definedName name="Cha">vals!$N$22</definedName>
    <definedName name="chbase" localSheetId="3">'[1]Basic Sheet'!$D$12</definedName>
    <definedName name="chbase">'Basic Sheet'!$D$12</definedName>
    <definedName name="chbon" localSheetId="3">'[1]Basic Sheet'!$C$12</definedName>
    <definedName name="chbon">'Basic Sheet'!$C$12</definedName>
    <definedName name="chScore" localSheetId="3">'[1]Basic Sheet'!$B$12</definedName>
    <definedName name="chScore">'Basic Sheet'!$B$12</definedName>
    <definedName name="cl2BAB" localSheetId="3">[1]vals!$K$12</definedName>
    <definedName name="cl2BAB">vals!$K$12</definedName>
    <definedName name="cl2fort" localSheetId="3">[1]vals!$K$16</definedName>
    <definedName name="cl2fort">vals!$K$16</definedName>
    <definedName name="cl2HALFHD" localSheetId="3">[1]vals!$K$14</definedName>
    <definedName name="cl2HALFHD">vals!$K$14</definedName>
    <definedName name="cl2HD">vals!$K$13</definedName>
    <definedName name="cl2level" localSheetId="3">'[1]Basic Sheet'!$T$5</definedName>
    <definedName name="cl2level">'Basic Sheet'!$T$5</definedName>
    <definedName name="cl2ref" localSheetId="3">[1]vals!$K$17</definedName>
    <definedName name="cl2ref">vals!$K$17</definedName>
    <definedName name="cl2Skills" localSheetId="3">[1]vals!$K$15</definedName>
    <definedName name="cl2Skills">vals!$K$15</definedName>
    <definedName name="cl2SkillsPerLevel">vals!$L$15</definedName>
    <definedName name="cl2will" localSheetId="3">[1]vals!$K$18</definedName>
    <definedName name="cl2will">vals!$K$18</definedName>
    <definedName name="cl3BAB" localSheetId="3">[1]vals!$K$21</definedName>
    <definedName name="cl3BAB">vals!$K$21</definedName>
    <definedName name="cl3fort" localSheetId="3">[1]vals!$K$25</definedName>
    <definedName name="cl3fort">vals!$K$25</definedName>
    <definedName name="cl3HALFHD" localSheetId="3">[1]vals!$K$23</definedName>
    <definedName name="cl3HALFHD">vals!$K$23</definedName>
    <definedName name="cl3HD">vals!$K$22</definedName>
    <definedName name="cl3level" localSheetId="3">'[1]Basic Sheet'!$V$5</definedName>
    <definedName name="cl3level">'Basic Sheet'!$V$5</definedName>
    <definedName name="cl3ref" localSheetId="3">[1]vals!$K$26</definedName>
    <definedName name="cl3ref">vals!$K$26</definedName>
    <definedName name="cl3Skills" localSheetId="3">[1]vals!$K$24</definedName>
    <definedName name="cl3Skills">vals!$K$24</definedName>
    <definedName name="cl3SkillsPerLevel">vals!$L$24</definedName>
    <definedName name="cl3will" localSheetId="3">[1]vals!$K$27</definedName>
    <definedName name="cl3will">vals!$K$27</definedName>
    <definedName name="class" localSheetId="3">'[1]Basic Sheet'!$F$2</definedName>
    <definedName name="class">'Basic Sheet'!$F$2</definedName>
    <definedName name="class2" localSheetId="3">'[1]Basic Sheet'!$T$3</definedName>
    <definedName name="class2">'Basic Sheet'!$T$3</definedName>
    <definedName name="class3" localSheetId="3">'[1]Basic Sheet'!$V$3</definedName>
    <definedName name="class3">'Basic Sheet'!$V$3</definedName>
    <definedName name="climbRanks">'Basic Sheet'!$O$6</definedName>
    <definedName name="Cont1Weight" localSheetId="3">[1]Gear!$P$2</definedName>
    <definedName name="Cont1Weight">Gear!$P$2</definedName>
    <definedName name="Cont2Weight" localSheetId="3">[1]Gear!$U$2</definedName>
    <definedName name="Cont2Weight">Gear!$U$2</definedName>
    <definedName name="craft1Ranks">'Basic Sheet'!$O$7</definedName>
    <definedName name="craft2Ranks">'Basic Sheet'!$O$8</definedName>
    <definedName name="craft3Ranks">'Basic Sheet'!$O$9</definedName>
    <definedName name="cScore" localSheetId="3">'[1]Basic Sheet'!$B$9</definedName>
    <definedName name="cScore">'Basic Sheet'!$B$9</definedName>
    <definedName name="damage" localSheetId="3">'[1]Basic Sheet'!$I$8</definedName>
    <definedName name="damage">'Basic Sheet'!$I$8</definedName>
    <definedName name="dammod" localSheetId="3">'[1]Basic Sheet'!#REF!</definedName>
    <definedName name="dammod">'Basic Sheet'!#REF!</definedName>
    <definedName name="dattack" localSheetId="3">'[1]Basic Sheet'!$F$22</definedName>
    <definedName name="dattack">'Basic Sheet'!$F$22</definedName>
    <definedName name="dattack1" localSheetId="3">'[1]Basic Sheet'!#REF!</definedName>
    <definedName name="dattack1">'Basic Sheet'!#REF!</definedName>
    <definedName name="dattack2" localSheetId="3">'[1]Basic Sheet'!$G$22</definedName>
    <definedName name="dattack2">'Basic Sheet'!$G$22</definedName>
    <definedName name="dattack3" localSheetId="3">'[1]Basic Sheet'!$H$22</definedName>
    <definedName name="dattack3">'Basic Sheet'!$H$22</definedName>
    <definedName name="dattack4" localSheetId="3">'[1]Basic Sheet'!$I$22</definedName>
    <definedName name="dattack4">'Basic Sheet'!$I$22</definedName>
    <definedName name="dbase" localSheetId="3">'[1]Basic Sheet'!$D$8</definedName>
    <definedName name="dbase">'Basic Sheet'!$D$8</definedName>
    <definedName name="dbon" localSheetId="3">'[1]Basic Sheet'!$C$8</definedName>
    <definedName name="dbon">'Basic Sheet'!$C$8</definedName>
    <definedName name="def" localSheetId="3">'[1]Basic Sheet'!$H$15</definedName>
    <definedName name="def">'Basic Sheet'!$H$15</definedName>
    <definedName name="dexac" localSheetId="3">'[1]Basic Sheet'!$E$15</definedName>
    <definedName name="dexac">'Basic Sheet'!$E$15</definedName>
    <definedName name="dexorstr" localSheetId="3">'[1]Basic Sheet'!#REF!</definedName>
    <definedName name="dexorstr">'Basic Sheet'!#REF!</definedName>
    <definedName name="diplomacyRanks">'Basic Sheet'!$O$10</definedName>
    <definedName name="disableDeviceRanks">'Basic Sheet'!$O$11</definedName>
    <definedName name="disguiseRanks">'Basic Sheet'!$O$12</definedName>
    <definedName name="dodge" localSheetId="3">'[1]Basic Sheet'!$I$15</definedName>
    <definedName name="dodge">'Basic Sheet'!$I$15</definedName>
    <definedName name="dScore" localSheetId="3">'[1]Basic Sheet'!$B$8</definedName>
    <definedName name="dScore">'Basic Sheet'!$B$8</definedName>
    <definedName name="dungeoneeringRanks">'Basic Sheet'!$O$19</definedName>
    <definedName name="engineeringRanks">'Basic Sheet'!$O$20</definedName>
    <definedName name="escapeArtistRanks">'Basic Sheet'!$O$13</definedName>
    <definedName name="fastprog" localSheetId="3">[1]vals!$N$44</definedName>
    <definedName name="fastprog">vals!$O$40</definedName>
    <definedName name="favoredhp" localSheetId="3">'[1]Basic Sheet'!$U$8</definedName>
    <definedName name="favoredhp">'Basic Sheet'!$U$8</definedName>
    <definedName name="favoredskill" localSheetId="3">'[1]Basic Sheet'!$T$8</definedName>
    <definedName name="favoredskill">'Basic Sheet'!$T$8</definedName>
    <definedName name="flyRanks">'Basic Sheet'!$O$14</definedName>
    <definedName name="fort" localSheetId="3">[1]vals!$K$7</definedName>
    <definedName name="fort">vals!$K$7</definedName>
    <definedName name="geographyRanks">'Basic Sheet'!$O$21</definedName>
    <definedName name="HALFHD" localSheetId="3">[1]vals!$K$5</definedName>
    <definedName name="HALFHD">vals!$K$5</definedName>
    <definedName name="handleAnimalFlanks">'Basic Sheet'!$O$15</definedName>
    <definedName name="handleAnimalRanks">'Basic Sheet'!$O$15</definedName>
    <definedName name="hasAcrobatics" localSheetId="3">[1]vals!$BD$2</definedName>
    <definedName name="hasAcrobatics">vals!$BE$2</definedName>
    <definedName name="hasAntHal" localSheetId="3">[1]Gear!#REF!</definedName>
    <definedName name="hasAntHal">Gear!#REF!</definedName>
    <definedName name="hasAntHaul" localSheetId="3">[1]Gear!#REF!</definedName>
    <definedName name="hasAntHaul">Gear!#REF!</definedName>
    <definedName name="hasAntsHaul" localSheetId="3">[1]Gear!$A$14</definedName>
    <definedName name="hasAntsHaul">Gear!$A$14</definedName>
    <definedName name="hasAppraise" localSheetId="3">[1]vals!$BD$3</definedName>
    <definedName name="hasAppraise">vals!$BE$3</definedName>
    <definedName name="hasArcana" localSheetId="3">[1]vals!$BD$15</definedName>
    <definedName name="hasArcana">vals!$BE$15</definedName>
    <definedName name="hasBluff" localSheetId="3">[1]vals!$BD$4</definedName>
    <definedName name="hasBluff">vals!$BE$4</definedName>
    <definedName name="hasClimb" localSheetId="3">[1]vals!$BD$5</definedName>
    <definedName name="hasClimb">vals!$BE$5</definedName>
    <definedName name="hasCraft" localSheetId="3">[1]vals!$BD$6</definedName>
    <definedName name="hasCraft">vals!$BE$6</definedName>
    <definedName name="hasDiplomacy" localSheetId="3">[1]vals!$BD$7</definedName>
    <definedName name="hasDiplomacy">vals!$BE$7</definedName>
    <definedName name="hasDisableDevice" localSheetId="3">[1]vals!$BD$8</definedName>
    <definedName name="hasDisableDevice">vals!$BE$8</definedName>
    <definedName name="hasDisguise" localSheetId="3">[1]vals!$BD$9</definedName>
    <definedName name="hasDisguise">vals!$BE$9</definedName>
    <definedName name="hasDungeoneering" localSheetId="3">[1]vals!$BD$16</definedName>
    <definedName name="hasDungeoneering">vals!$BE$16</definedName>
    <definedName name="hasEngineering" localSheetId="3">[1]vals!$BD$17</definedName>
    <definedName name="hasEngineering">vals!$BE$17</definedName>
    <definedName name="hasEscapeArtist" localSheetId="3">[1]vals!$BD$10</definedName>
    <definedName name="hasEscapeArtist">vals!$BE$10</definedName>
    <definedName name="hasFly" localSheetId="3">[1]vals!$BD$11</definedName>
    <definedName name="hasFly">vals!$BE$11</definedName>
    <definedName name="hasGeography" localSheetId="3">[1]vals!$BD$18</definedName>
    <definedName name="hasGeography">vals!$BE$18</definedName>
    <definedName name="hasHandleAnimal" localSheetId="3">[1]vals!$BD$12</definedName>
    <definedName name="hasHandleAnimal">vals!$BE$12</definedName>
    <definedName name="hasHeal" localSheetId="3">[1]vals!$BD$13</definedName>
    <definedName name="hasHeal">vals!$BE$13</definedName>
    <definedName name="hasHistory" localSheetId="3">[1]vals!$BD$19</definedName>
    <definedName name="hasHistory">vals!$BE$19</definedName>
    <definedName name="hasIntimidate" localSheetId="3">[1]vals!$BD$14</definedName>
    <definedName name="hasIntimidate">vals!$BE$14</definedName>
    <definedName name="hasLinguistics" localSheetId="3">[1]vals!$BD$25</definedName>
    <definedName name="hasLinguistics">vals!$BE$25</definedName>
    <definedName name="hasLocal" localSheetId="3">[1]vals!$BD$20</definedName>
    <definedName name="hasLocal">vals!$BE$20</definedName>
    <definedName name="hasNature" localSheetId="3">[1]vals!$BD$21</definedName>
    <definedName name="hasNature">vals!$BE$21</definedName>
    <definedName name="hasNobility" localSheetId="3">[1]vals!$BD$22</definedName>
    <definedName name="hasNobility">vals!$BE$22</definedName>
    <definedName name="hasPerception" localSheetId="3">[1]vals!$BD$26</definedName>
    <definedName name="hasPerception">vals!$BE$26</definedName>
    <definedName name="hasPerform" localSheetId="3">[1]vals!$BD$27</definedName>
    <definedName name="hasPerform">vals!$BE$27</definedName>
    <definedName name="hasPlanes" localSheetId="3">[1]vals!$BD$23</definedName>
    <definedName name="hasPlanes">vals!$BE$23</definedName>
    <definedName name="hasProfession" localSheetId="3">[1]vals!$BD$28</definedName>
    <definedName name="hasProfession">vals!$BE$28</definedName>
    <definedName name="hasReligion" localSheetId="3">[1]vals!$BD$24</definedName>
    <definedName name="hasReligion">vals!$BE$24</definedName>
    <definedName name="hasRide" localSheetId="3">[1]vals!$BD$29</definedName>
    <definedName name="hasRide">vals!$BE$29</definedName>
    <definedName name="hasSenseMotive" localSheetId="3">[1]vals!$BD$30</definedName>
    <definedName name="hasSenseMotive">vals!$BE$30</definedName>
    <definedName name="hasSleightofHand" localSheetId="3">[1]vals!$BD$31</definedName>
    <definedName name="hasSleightofHand">vals!$BE$31</definedName>
    <definedName name="hasSpellcraft" localSheetId="3">[1]vals!$BD$32</definedName>
    <definedName name="hasSpellcraft">vals!$BE$32</definedName>
    <definedName name="hasStealth" localSheetId="3">[1]vals!$BD$33</definedName>
    <definedName name="hasStealth">vals!$BE$33</definedName>
    <definedName name="hasSurvival" localSheetId="3">[1]vals!$BD$34</definedName>
    <definedName name="hasSurvival">vals!$BE$34</definedName>
    <definedName name="hasSwim" localSheetId="3">[1]vals!$BD$35</definedName>
    <definedName name="hasSwim">vals!$BE$35</definedName>
    <definedName name="hasUseMagicDevice" localSheetId="3">[1]vals!$BD$36</definedName>
    <definedName name="hasUseMagicDevice">vals!$BE$36</definedName>
    <definedName name="HD" localSheetId="3">[1]vals!$K$4</definedName>
    <definedName name="HD">vals!$K$4</definedName>
    <definedName name="healRanks">'Basic Sheet'!$O$16</definedName>
    <definedName name="HeavyCapac" localSheetId="3">[1]Gear!$A$8</definedName>
    <definedName name="HeavyCapac">Gear!$A$8</definedName>
    <definedName name="historyRanks">'Basic Sheet'!$O$22</definedName>
    <definedName name="hitmod" localSheetId="3">'[1]Basic Sheet'!#REF!</definedName>
    <definedName name="hitmod">'Basic Sheet'!#REF!</definedName>
    <definedName name="HO" localSheetId="3">[1]vals!#REF!</definedName>
    <definedName name="HO">vals!#REF!</definedName>
    <definedName name="HP" localSheetId="3">[1]vals!$K$30</definedName>
    <definedName name="HP">vals!$K$30</definedName>
    <definedName name="hpmax">'Basic Sheet'!$J$6</definedName>
    <definedName name="humanSkill" localSheetId="3">[1]vals!$K$41</definedName>
    <definedName name="humanSkill">vals!$K$41</definedName>
    <definedName name="ibase" localSheetId="3">'[1]Basic Sheet'!$D$10</definedName>
    <definedName name="ibase">'Basic Sheet'!$D$10</definedName>
    <definedName name="ibon" localSheetId="3">'[1]Basic Sheet'!$C$10</definedName>
    <definedName name="ibon">'Basic Sheet'!$C$10</definedName>
    <definedName name="ienhance" localSheetId="3">'[1]Basic Sheet'!$G$10</definedName>
    <definedName name="ienhance">'Basic Sheet'!$G$10</definedName>
    <definedName name="Int">vals!$N$20</definedName>
    <definedName name="intimidateRanks">'Basic Sheet'!$O$17</definedName>
    <definedName name="iScore" localSheetId="3">'[1]Basic Sheet'!$B$10</definedName>
    <definedName name="iScore">'Basic Sheet'!$B$10</definedName>
    <definedName name="isMWPack" localSheetId="3">[1]Gear!$A$12</definedName>
    <definedName name="isMWPack">Gear!$A$12</definedName>
    <definedName name="level" localSheetId="3">'[1]Basic Sheet'!$H$2</definedName>
    <definedName name="level">'Basic Sheet'!$H$2</definedName>
    <definedName name="linguisticsRanks">'Basic Sheet'!$O$28</definedName>
    <definedName name="localRanks">'Basic Sheet'!$O$23</definedName>
    <definedName name="mediumprog" localSheetId="3">[1]vals!$N$45</definedName>
    <definedName name="mediumprog">vals!$O$41</definedName>
    <definedName name="ModBAB" localSheetId="3">[1]vals!#REF!</definedName>
    <definedName name="ModBAB">vals!#REF!</definedName>
    <definedName name="natarmor" localSheetId="3">'[1]Basic Sheet'!$G$15</definedName>
    <definedName name="natarmor">'Basic Sheet'!$G$15</definedName>
    <definedName name="natureRanks">'Basic Sheet'!$O$24</definedName>
    <definedName name="nobilityRanks">'Basic Sheet'!$O$25</definedName>
    <definedName name="nonlethal" localSheetId="3">'[1]Basic Sheet'!#REF!</definedName>
    <definedName name="nonlethal">'Basic Sheet'!#REF!</definedName>
    <definedName name="OnPersonWeight" localSheetId="3">[1]Gear!$F$2</definedName>
    <definedName name="OnPersonWeight">Gear!$F$2</definedName>
    <definedName name="otherac" localSheetId="3">'[1]Basic Sheet'!$J$15</definedName>
    <definedName name="otherac">'Basic Sheet'!$J$15</definedName>
    <definedName name="PARTIALHD">vals!$K$5</definedName>
    <definedName name="pbsum" localSheetId="3">[1]vals!$N$24</definedName>
    <definedName name="pbsum">vals!$O$24</definedName>
    <definedName name="perceptionRanks">'Basic Sheet'!$O$29</definedName>
    <definedName name="perform1Ranks">'Basic Sheet'!$O$30</definedName>
    <definedName name="perform2Ranks">'Basic Sheet'!$O$31</definedName>
    <definedName name="perform3Ranks">'Basic Sheet'!$O$32</definedName>
    <definedName name="planesRanks">'Basic Sheet'!$O$26</definedName>
    <definedName name="_xlnm.Print_Area" localSheetId="0">'Basic Sheet'!$A$1:$W$47</definedName>
    <definedName name="profession1Ranks">'Basic Sheet'!$O$33</definedName>
    <definedName name="profession2Ranks">'Basic Sheet'!$O$34</definedName>
    <definedName name="profession3Ranks">'Basic Sheet'!$O$35</definedName>
    <definedName name="prog" localSheetId="3">'[1]Basic Sheet'!$J$45</definedName>
    <definedName name="prog">'Basic Sheet'!$J$46</definedName>
    <definedName name="Race" localSheetId="3">'[1]Basic Sheet'!$A$4</definedName>
    <definedName name="Race">'Basic Sheet'!$A$4</definedName>
    <definedName name="raceCHA" localSheetId="3">[1]vals!$BO$7</definedName>
    <definedName name="raceCHA">vals!$BP$7</definedName>
    <definedName name="raceCON" localSheetId="3">[1]vals!$BO$4</definedName>
    <definedName name="raceCON">vals!$BP$4</definedName>
    <definedName name="RaceDEX" localSheetId="3">[1]vals!$BO$3</definedName>
    <definedName name="RaceDEX">vals!$BP$3</definedName>
    <definedName name="raceINT" localSheetId="3">[1]vals!$BO$5</definedName>
    <definedName name="raceINT">vals!$BP$5</definedName>
    <definedName name="RaceSTR" localSheetId="3">[1]vals!$BO$2</definedName>
    <definedName name="RaceSTR">vals!$BP$2</definedName>
    <definedName name="raceWIS" localSheetId="3">[1]vals!$BO$6</definedName>
    <definedName name="raceWIS">vals!$BP$6</definedName>
    <definedName name="reflex" localSheetId="3">[1]vals!$K$8</definedName>
    <definedName name="reflex">vals!$K$8</definedName>
    <definedName name="RegRemSkills">'Basic Sheet'!$N$45</definedName>
    <definedName name="religionRanks">'Basic Sheet'!$O$27</definedName>
    <definedName name="RemainingSkills">'Basic Sheet'!$N$46</definedName>
    <definedName name="rideRanks">'Basic Sheet'!$O$36</definedName>
    <definedName name="sattack" localSheetId="3">'[1]Basic Sheet'!$B$22</definedName>
    <definedName name="sattack">'Basic Sheet'!$B$22</definedName>
    <definedName name="sattack2" localSheetId="3">'[1]Basic Sheet'!$C$22</definedName>
    <definedName name="sattack2">'Basic Sheet'!$C$22</definedName>
    <definedName name="sattack3" localSheetId="3">'[1]Basic Sheet'!$D$22</definedName>
    <definedName name="sattack3">'Basic Sheet'!$D$22</definedName>
    <definedName name="sattack4" localSheetId="3">'[1]Basic Sheet'!$E$22</definedName>
    <definedName name="sattack4">'Basic Sheet'!$E$22</definedName>
    <definedName name="sbase" localSheetId="3">'[1]Basic Sheet'!$D$7</definedName>
    <definedName name="sbase">'Basic Sheet'!$D$7</definedName>
    <definedName name="sbon" localSheetId="3">'[1]Basic Sheet'!$C$7</definedName>
    <definedName name="sbon">'Basic Sheet'!$C$7</definedName>
    <definedName name="senseMotiveRanks">'Basic Sheet'!$O$37</definedName>
    <definedName name="shield" localSheetId="3">'[1]Basic Sheet'!$D$15</definedName>
    <definedName name="shield">'Basic Sheet'!$D$15</definedName>
    <definedName name="simpleprog">vals!$O$43</definedName>
    <definedName name="size" localSheetId="3">'[1]Basic Sheet'!$J$2</definedName>
    <definedName name="size">'Basic Sheet'!$J$2</definedName>
    <definedName name="sizeac" localSheetId="3">'[1]Basic Sheet'!$F$15</definedName>
    <definedName name="sizeac">'Basic Sheet'!$F$15</definedName>
    <definedName name="sizemod" localSheetId="3">[1]vals!$N$12</definedName>
    <definedName name="sizemod">vals!$O$12</definedName>
    <definedName name="Skills" localSheetId="3">[1]vals!$K$6</definedName>
    <definedName name="Skills">vals!$K$6</definedName>
    <definedName name="skillsPerLevel">vals!$L$6</definedName>
    <definedName name="SkillTotal" localSheetId="3">[1]vals!$K$31</definedName>
    <definedName name="SkillTotal">vals!$K$31</definedName>
    <definedName name="sleightOfHandRanks">'Basic Sheet'!$O$38</definedName>
    <definedName name="slowprog" localSheetId="3">[1]vals!$N$46</definedName>
    <definedName name="slowprog">vals!$O$42</definedName>
    <definedName name="spellcraftRanks">'Basic Sheet'!$O$39</definedName>
    <definedName name="sScore" localSheetId="3">'[1]Basic Sheet'!$B$7</definedName>
    <definedName name="sScore">'Basic Sheet'!$B$7</definedName>
    <definedName name="stealthRanks">'Basic Sheet'!$O$40</definedName>
    <definedName name="strScore">'Basic Sheet'!$B$7</definedName>
    <definedName name="survivalRanks">'Basic Sheet'!$O$41</definedName>
    <definedName name="swimRanks">'Basic Sheet'!$O$42</definedName>
    <definedName name="temp" localSheetId="3">'[1]Basic Sheet'!#REF!</definedName>
    <definedName name="temp">'Basic Sheet'!#REF!</definedName>
    <definedName name="tempabilbonus">'Basic Sheet'!$C$66</definedName>
    <definedName name="tempACBonus" localSheetId="3">'[1]Basic Sheet'!$D$65</definedName>
    <definedName name="tempACBonus">'Basic Sheet'!$D$66</definedName>
    <definedName name="TempAttBonus" localSheetId="3">'[1]Basic Sheet'!$E$65</definedName>
    <definedName name="TempAttBonus">'Basic Sheet'!$E$66</definedName>
    <definedName name="TempDamBonus">'Basic Sheet'!$F$66</definedName>
    <definedName name="TempFlatfootACBonus" localSheetId="3">'[1]Basic Sheet'!$D$66</definedName>
    <definedName name="TempFlatfootACBonus">'Basic Sheet'!$D$67</definedName>
    <definedName name="tempHP" localSheetId="3">'[1]Basic Sheet'!$J$8</definedName>
    <definedName name="tempHP">'Basic Sheet'!$J$8</definedName>
    <definedName name="TempInitBonus" localSheetId="3">'[1]Basic Sheet'!$G$65</definedName>
    <definedName name="TempInitBonus">'Basic Sheet'!$G$66</definedName>
    <definedName name="TempSaveBonus" localSheetId="3">'[1]Basic Sheet'!$H$65</definedName>
    <definedName name="TempSaveBonus">'Basic Sheet'!$H$66</definedName>
    <definedName name="TempSkillBonus" localSheetId="3">'[1]Basic Sheet'!$I$65</definedName>
    <definedName name="TempSkillBonus">'Basic Sheet'!$I$66</definedName>
    <definedName name="tempSpeedBonus" localSheetId="3">'[1]Basic Sheet'!#REF!</definedName>
    <definedName name="tempSpeedBonus">'Basic Sheet'!#REF!</definedName>
    <definedName name="TempTouchACBonus" localSheetId="3">'[1]Basic Sheet'!$D$67</definedName>
    <definedName name="TempTouchACBonus">'Basic Sheet'!$D$68</definedName>
    <definedName name="totallevel" localSheetId="3">'[1]Basic Sheet'!$I$2</definedName>
    <definedName name="totallevel">'Basic Sheet'!$I$2</definedName>
    <definedName name="totBAB" localSheetId="3">[1]vals!$K$33</definedName>
    <definedName name="totBAB">vals!$K$33</definedName>
    <definedName name="useMagicDeviceRanks">'Basic Sheet'!$O$43</definedName>
    <definedName name="wbase" localSheetId="3">'[1]Basic Sheet'!$D$11</definedName>
    <definedName name="wbase">'Basic Sheet'!$D$11</definedName>
    <definedName name="wbon" localSheetId="3">'[1]Basic Sheet'!$C$11</definedName>
    <definedName name="wbon">'Basic Sheet'!$C$11</definedName>
    <definedName name="will" localSheetId="3">[1]vals!$K$9</definedName>
    <definedName name="will">vals!$K$9</definedName>
    <definedName name="Wis">vals!$N$21</definedName>
    <definedName name="wScore" localSheetId="3">'[1]Basic Sheet'!$B$11</definedName>
    <definedName name="wScore">'Basic Sheet'!$B$11</definedName>
    <definedName name="XPProg" localSheetId="3">[1]vals!$K$32</definedName>
    <definedName name="XPProg">vals!$K$32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5" i="1" l="1"/>
  <c r="K43" i="2"/>
  <c r="N44" i="1"/>
  <c r="N46" i="1"/>
  <c r="BP3" i="2"/>
  <c r="E8" i="1"/>
  <c r="B8" i="1"/>
  <c r="C8" i="1"/>
  <c r="E15" i="1"/>
  <c r="BP5" i="2"/>
  <c r="E10" i="1"/>
  <c r="B10" i="1"/>
  <c r="C10" i="1"/>
  <c r="K29" i="2"/>
  <c r="H114" i="5"/>
  <c r="H104" i="5"/>
  <c r="K3" i="2"/>
  <c r="K33" i="2"/>
  <c r="I22" i="1"/>
  <c r="H22" i="1"/>
  <c r="K37" i="2"/>
  <c r="E66" i="1"/>
  <c r="F22" i="1"/>
  <c r="G22" i="1"/>
  <c r="K35" i="2"/>
  <c r="I2" i="1"/>
  <c r="BP2" i="2"/>
  <c r="E7" i="1"/>
  <c r="B7" i="1"/>
  <c r="P68" i="2"/>
  <c r="P69" i="2"/>
  <c r="A8" i="6"/>
  <c r="K42" i="2"/>
  <c r="K15" i="2"/>
  <c r="L24" i="2"/>
  <c r="L27" i="2"/>
  <c r="M27" i="2"/>
  <c r="K27" i="2"/>
  <c r="L26" i="2"/>
  <c r="M26" i="2"/>
  <c r="K26" i="2"/>
  <c r="L25" i="2"/>
  <c r="M25" i="2"/>
  <c r="K25" i="2"/>
  <c r="L18" i="2"/>
  <c r="M18" i="2"/>
  <c r="K18" i="2"/>
  <c r="L17" i="2"/>
  <c r="M17" i="2"/>
  <c r="K17" i="2"/>
  <c r="L16" i="2"/>
  <c r="M16" i="2"/>
  <c r="K16" i="2"/>
  <c r="L9" i="2"/>
  <c r="M9" i="2"/>
  <c r="K9" i="2"/>
  <c r="L8" i="2"/>
  <c r="M8" i="2"/>
  <c r="K8" i="2"/>
  <c r="L7" i="2"/>
  <c r="M7" i="2"/>
  <c r="K7" i="2"/>
  <c r="I17" i="1"/>
  <c r="K6" i="2"/>
  <c r="D63" i="2"/>
  <c r="K14" i="2"/>
  <c r="K4" i="2"/>
  <c r="D39" i="2"/>
  <c r="D22" i="2"/>
  <c r="K5" i="2"/>
  <c r="D58" i="2"/>
  <c r="K23" i="2"/>
  <c r="BP4" i="2"/>
  <c r="E9" i="1"/>
  <c r="B9" i="1"/>
  <c r="C9" i="1"/>
  <c r="K30" i="2"/>
  <c r="J6" i="1"/>
  <c r="L6" i="2"/>
  <c r="L15" i="2"/>
  <c r="K24" i="2"/>
  <c r="K31" i="2"/>
  <c r="K41" i="2"/>
  <c r="K32" i="2"/>
  <c r="I6" i="1"/>
  <c r="F10" i="11"/>
  <c r="G10" i="11"/>
  <c r="H10" i="11"/>
  <c r="F11" i="11"/>
  <c r="G11" i="11"/>
  <c r="H11" i="11"/>
  <c r="F12" i="11"/>
  <c r="G12" i="11"/>
  <c r="H12" i="11"/>
  <c r="F13" i="11"/>
  <c r="G13" i="11"/>
  <c r="H13" i="1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/>
  <c r="F19" i="11"/>
  <c r="G19" i="11"/>
  <c r="H19" i="11"/>
  <c r="F20" i="11"/>
  <c r="G20" i="11"/>
  <c r="H20" i="11"/>
  <c r="F21" i="11"/>
  <c r="G21" i="11"/>
  <c r="H21" i="11"/>
  <c r="F22" i="11"/>
  <c r="G22" i="11"/>
  <c r="H22" i="11"/>
  <c r="F23" i="11"/>
  <c r="G23" i="11"/>
  <c r="H23" i="11"/>
  <c r="F24" i="11"/>
  <c r="G24" i="11"/>
  <c r="H24" i="11"/>
  <c r="F25" i="11"/>
  <c r="G25" i="11"/>
  <c r="H25" i="11"/>
  <c r="F26" i="11"/>
  <c r="G26" i="11"/>
  <c r="H26" i="11"/>
  <c r="F27" i="11"/>
  <c r="G27" i="11"/>
  <c r="H27" i="11"/>
  <c r="H9" i="11"/>
  <c r="G9" i="11"/>
  <c r="F9" i="11"/>
  <c r="H3" i="11"/>
  <c r="G3" i="11"/>
  <c r="F3" i="11"/>
  <c r="H7" i="11"/>
  <c r="G7" i="11"/>
  <c r="F7" i="11"/>
  <c r="H6" i="11"/>
  <c r="G6" i="11"/>
  <c r="F6" i="11"/>
  <c r="H5" i="11"/>
  <c r="G5" i="11"/>
  <c r="F5" i="11"/>
  <c r="H4" i="11"/>
  <c r="G4" i="11"/>
  <c r="F4" i="11"/>
  <c r="H2" i="11"/>
  <c r="G2" i="11"/>
  <c r="F2" i="11"/>
  <c r="BE36" i="2"/>
  <c r="BP7" i="2"/>
  <c r="BE35" i="2"/>
  <c r="BE34" i="2"/>
  <c r="BP6" i="2"/>
  <c r="BE33" i="2"/>
  <c r="BE32" i="2"/>
  <c r="BE31" i="2"/>
  <c r="BE30" i="2"/>
  <c r="BE29" i="2"/>
  <c r="BE28" i="2"/>
  <c r="BE27" i="2"/>
  <c r="BE26" i="2"/>
  <c r="BE25" i="2"/>
  <c r="K39" i="2"/>
  <c r="BE24" i="2"/>
  <c r="K38" i="2"/>
  <c r="BE23" i="2"/>
  <c r="BE22" i="2"/>
  <c r="K12" i="2"/>
  <c r="K21" i="2"/>
  <c r="K36" i="2"/>
  <c r="BE21" i="2"/>
  <c r="C7" i="1"/>
  <c r="O12" i="2"/>
  <c r="B22" i="1"/>
  <c r="C22" i="1"/>
  <c r="D22" i="1"/>
  <c r="E22" i="1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O17" i="2"/>
  <c r="O18" i="2"/>
  <c r="O19" i="2"/>
  <c r="O20" i="2"/>
  <c r="O21" i="2"/>
  <c r="O22" i="2"/>
  <c r="O24" i="2"/>
  <c r="BE7" i="2"/>
  <c r="BE6" i="2"/>
  <c r="BE5" i="2"/>
  <c r="BE4" i="2"/>
  <c r="BE3" i="2"/>
  <c r="BE2" i="2"/>
  <c r="E12" i="1"/>
  <c r="E11" i="1"/>
  <c r="L25" i="1"/>
  <c r="Q25" i="1"/>
  <c r="L26" i="1"/>
  <c r="Q26" i="1"/>
  <c r="L27" i="1"/>
  <c r="Q27" i="1"/>
  <c r="L28" i="1"/>
  <c r="Q28" i="1"/>
  <c r="L29" i="1"/>
  <c r="Q29" i="1"/>
  <c r="L30" i="1"/>
  <c r="Q30" i="1"/>
  <c r="L31" i="1"/>
  <c r="Q31" i="1"/>
  <c r="L32" i="1"/>
  <c r="Q32" i="1"/>
  <c r="L33" i="1"/>
  <c r="Q33" i="1"/>
  <c r="L34" i="1"/>
  <c r="Q34" i="1"/>
  <c r="L35" i="1"/>
  <c r="Q35" i="1"/>
  <c r="L36" i="1"/>
  <c r="Q36" i="1"/>
  <c r="L37" i="1"/>
  <c r="Q37" i="1"/>
  <c r="L38" i="1"/>
  <c r="Q38" i="1"/>
  <c r="L39" i="1"/>
  <c r="Q39" i="1"/>
  <c r="L40" i="1"/>
  <c r="Q40" i="1"/>
  <c r="L41" i="1"/>
  <c r="Q41" i="1"/>
  <c r="L42" i="1"/>
  <c r="Q42" i="1"/>
  <c r="L43" i="1"/>
  <c r="Q43" i="1"/>
  <c r="L3" i="1"/>
  <c r="Q3" i="1"/>
  <c r="L4" i="1"/>
  <c r="Q4" i="1"/>
  <c r="L5" i="1"/>
  <c r="Q5" i="1"/>
  <c r="L6" i="1"/>
  <c r="Q6" i="1"/>
  <c r="L7" i="1"/>
  <c r="Q7" i="1"/>
  <c r="L8" i="1"/>
  <c r="Q8" i="1"/>
  <c r="L9" i="1"/>
  <c r="Q9" i="1"/>
  <c r="L10" i="1"/>
  <c r="Q10" i="1"/>
  <c r="L11" i="1"/>
  <c r="Q11" i="1"/>
  <c r="L12" i="1"/>
  <c r="Q12" i="1"/>
  <c r="L13" i="1"/>
  <c r="Q13" i="1"/>
  <c r="L14" i="1"/>
  <c r="Q14" i="1"/>
  <c r="L15" i="1"/>
  <c r="Q15" i="1"/>
  <c r="L16" i="1"/>
  <c r="Q16" i="1"/>
  <c r="L17" i="1"/>
  <c r="Q17" i="1"/>
  <c r="L18" i="1"/>
  <c r="Q18" i="1"/>
  <c r="L19" i="1"/>
  <c r="Q19" i="1"/>
  <c r="L20" i="1"/>
  <c r="Q20" i="1"/>
  <c r="L21" i="1"/>
  <c r="Q21" i="1"/>
  <c r="L22" i="1"/>
  <c r="Q22" i="1"/>
  <c r="L23" i="1"/>
  <c r="Q23" i="1"/>
  <c r="L24" i="1"/>
  <c r="Q24" i="1"/>
  <c r="D66" i="1"/>
  <c r="F66" i="1"/>
  <c r="G66" i="1"/>
  <c r="H66" i="1"/>
  <c r="I66" i="1"/>
  <c r="C66" i="1"/>
  <c r="B11" i="1"/>
  <c r="C11" i="1"/>
  <c r="P29" i="1"/>
  <c r="N29" i="1"/>
  <c r="D68" i="1"/>
  <c r="F15" i="1"/>
  <c r="B17" i="1"/>
  <c r="D67" i="1"/>
  <c r="A17" i="1"/>
  <c r="S38" i="1"/>
  <c r="B12" i="1"/>
  <c r="C12" i="1"/>
  <c r="I19" i="1"/>
  <c r="H19" i="1"/>
  <c r="I18" i="1"/>
  <c r="H18" i="1"/>
  <c r="H17" i="1"/>
  <c r="K22" i="2"/>
  <c r="K13" i="2"/>
  <c r="S40" i="1"/>
  <c r="P40" i="1"/>
  <c r="D134" i="2"/>
  <c r="D133" i="2"/>
  <c r="D132" i="2"/>
  <c r="D131" i="2"/>
  <c r="D130" i="2"/>
  <c r="D129" i="2"/>
  <c r="E25" i="1"/>
  <c r="E26" i="1"/>
  <c r="E27" i="1"/>
  <c r="E28" i="1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2" i="2"/>
  <c r="D61" i="2"/>
  <c r="D60" i="2"/>
  <c r="N40" i="1"/>
  <c r="D59" i="2"/>
  <c r="D57" i="2"/>
  <c r="D56" i="2"/>
  <c r="T13" i="6"/>
  <c r="O13" i="6"/>
  <c r="J13" i="6"/>
  <c r="E13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2" i="6"/>
  <c r="T11" i="6"/>
  <c r="T10" i="6"/>
  <c r="T9" i="6"/>
  <c r="T8" i="6"/>
  <c r="T7" i="6"/>
  <c r="T6" i="6"/>
  <c r="T5" i="6"/>
  <c r="T4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2" i="6"/>
  <c r="O11" i="6"/>
  <c r="O10" i="6"/>
  <c r="O9" i="6"/>
  <c r="O8" i="6"/>
  <c r="O7" i="6"/>
  <c r="O6" i="6"/>
  <c r="O5" i="6"/>
  <c r="O4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2" i="6"/>
  <c r="J11" i="6"/>
  <c r="J10" i="6"/>
  <c r="J9" i="6"/>
  <c r="J8" i="6"/>
  <c r="J7" i="6"/>
  <c r="J6" i="6"/>
  <c r="J5" i="6"/>
  <c r="J4" i="6"/>
  <c r="E5" i="6"/>
  <c r="E6" i="6"/>
  <c r="E7" i="6"/>
  <c r="E8" i="6"/>
  <c r="E9" i="6"/>
  <c r="E10" i="6"/>
  <c r="E11" i="6"/>
  <c r="E12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" i="6"/>
  <c r="N39" i="1"/>
  <c r="N35" i="1"/>
  <c r="N34" i="1"/>
  <c r="N33" i="1"/>
  <c r="P28" i="1"/>
  <c r="N28" i="1"/>
  <c r="N27" i="1"/>
  <c r="P26" i="1"/>
  <c r="N26" i="1"/>
  <c r="N25" i="1"/>
  <c r="N24" i="1"/>
  <c r="N23" i="1"/>
  <c r="N22" i="1"/>
  <c r="N21" i="1"/>
  <c r="N20" i="1"/>
  <c r="N19" i="1"/>
  <c r="N18" i="1"/>
  <c r="P15" i="1"/>
  <c r="N15" i="1"/>
  <c r="N11" i="1"/>
  <c r="N38" i="1"/>
  <c r="S42" i="1"/>
  <c r="S36" i="1"/>
  <c r="S14" i="1"/>
  <c r="S13" i="1"/>
  <c r="S11" i="1"/>
  <c r="S6" i="1"/>
  <c r="S3" i="1"/>
  <c r="J47" i="1"/>
  <c r="K2" i="6"/>
  <c r="P2" i="6"/>
  <c r="U2" i="6"/>
  <c r="F2" i="6"/>
  <c r="A16" i="6"/>
  <c r="N43" i="1"/>
  <c r="I14" i="5"/>
  <c r="P33" i="1"/>
  <c r="P32" i="1"/>
  <c r="N32" i="1"/>
  <c r="D10" i="2"/>
  <c r="D14" i="2"/>
  <c r="D16" i="2"/>
  <c r="D31" i="2"/>
  <c r="D36" i="2"/>
  <c r="D38" i="2"/>
  <c r="D45" i="2"/>
  <c r="D53" i="2"/>
  <c r="D3" i="2"/>
  <c r="D13" i="2"/>
  <c r="D23" i="2"/>
  <c r="D25" i="2"/>
  <c r="D28" i="2"/>
  <c r="D35" i="2"/>
  <c r="D47" i="2"/>
  <c r="D52" i="2"/>
  <c r="D5" i="2"/>
  <c r="D33" i="2"/>
  <c r="D41" i="2"/>
  <c r="D6" i="2"/>
  <c r="D11" i="2"/>
  <c r="D12" i="2"/>
  <c r="D24" i="2"/>
  <c r="D26" i="2"/>
  <c r="D42" i="2"/>
  <c r="D43" i="2"/>
  <c r="D44" i="2"/>
  <c r="D49" i="2"/>
  <c r="D50" i="2"/>
  <c r="D9" i="2"/>
  <c r="D32" i="2"/>
  <c r="D40" i="2"/>
  <c r="D48" i="2"/>
  <c r="D27" i="2"/>
  <c r="D29" i="2"/>
  <c r="D30" i="2"/>
  <c r="D34" i="2"/>
  <c r="D37" i="2"/>
  <c r="D46" i="2"/>
  <c r="D8" i="2"/>
  <c r="C17" i="1"/>
  <c r="A22" i="1"/>
  <c r="H84" i="5"/>
  <c r="H94" i="5"/>
  <c r="H11" i="5"/>
  <c r="H23" i="5"/>
  <c r="H36" i="5"/>
  <c r="P6" i="1"/>
  <c r="N6" i="1"/>
  <c r="A10" i="6"/>
  <c r="A6" i="6"/>
  <c r="P67" i="2"/>
  <c r="A4" i="6"/>
  <c r="H73" i="5"/>
  <c r="H62" i="5"/>
  <c r="H49" i="5"/>
  <c r="P9" i="1"/>
  <c r="N9" i="1"/>
  <c r="P16" i="1"/>
  <c r="N16" i="1"/>
  <c r="P41" i="1"/>
  <c r="N41" i="1"/>
  <c r="P35" i="1"/>
  <c r="P34" i="1"/>
  <c r="P37" i="1"/>
  <c r="N37" i="1"/>
  <c r="P36" i="1"/>
  <c r="N36" i="1"/>
  <c r="P38" i="1"/>
  <c r="P22" i="1"/>
  <c r="P23" i="1"/>
  <c r="P24" i="1"/>
  <c r="P25" i="1"/>
  <c r="P27" i="1"/>
  <c r="P20" i="1"/>
  <c r="P39" i="1"/>
  <c r="P21" i="1"/>
  <c r="P43" i="1"/>
  <c r="P31" i="1"/>
  <c r="N31" i="1"/>
  <c r="P30" i="1"/>
  <c r="N30" i="1"/>
  <c r="P12" i="1"/>
  <c r="N12" i="1"/>
  <c r="P10" i="1"/>
  <c r="N10" i="1"/>
  <c r="P17" i="1"/>
  <c r="N17" i="1"/>
  <c r="P5" i="1"/>
  <c r="N5" i="1"/>
  <c r="I12" i="1"/>
  <c r="I10" i="1"/>
  <c r="P13" i="1"/>
  <c r="N13" i="1"/>
  <c r="P3" i="1"/>
  <c r="N3" i="1"/>
  <c r="P11" i="1"/>
  <c r="P14" i="1"/>
  <c r="N14" i="1"/>
  <c r="P19" i="1"/>
  <c r="P18" i="1"/>
  <c r="P8" i="1"/>
  <c r="N8" i="1"/>
  <c r="P7" i="1"/>
  <c r="N7" i="1"/>
  <c r="P4" i="1"/>
  <c r="N4" i="1"/>
  <c r="H11" i="1"/>
  <c r="J22" i="1"/>
  <c r="E24" i="1"/>
  <c r="P42" i="1"/>
  <c r="N42" i="1"/>
  <c r="A15" i="1"/>
</calcChain>
</file>

<file path=xl/sharedStrings.xml><?xml version="1.0" encoding="utf-8"?>
<sst xmlns="http://schemas.openxmlformats.org/spreadsheetml/2006/main" count="3038" uniqueCount="533">
  <si>
    <t>Barbarian</t>
  </si>
  <si>
    <t>Bard</t>
  </si>
  <si>
    <t>Cleric</t>
  </si>
  <si>
    <t>Druid</t>
  </si>
  <si>
    <t>Fighter</t>
  </si>
  <si>
    <t>Monk</t>
  </si>
  <si>
    <t>Paladin</t>
  </si>
  <si>
    <t>Ranger</t>
  </si>
  <si>
    <t>Rogue</t>
  </si>
  <si>
    <t>Wizard</t>
  </si>
  <si>
    <t>Alchemist</t>
  </si>
  <si>
    <t>Cavalier</t>
  </si>
  <si>
    <t>Gunslinger</t>
  </si>
  <si>
    <t>Inquisitor</t>
  </si>
  <si>
    <t>Magus</t>
  </si>
  <si>
    <t>Oracle</t>
  </si>
  <si>
    <t>Summoner</t>
  </si>
  <si>
    <t>Witch</t>
  </si>
  <si>
    <t>Antipaladin</t>
  </si>
  <si>
    <t>Ninja</t>
  </si>
  <si>
    <t>Samurai</t>
  </si>
  <si>
    <t>Arcanist</t>
  </si>
  <si>
    <t>Bloodrager</t>
  </si>
  <si>
    <t>Brawler</t>
  </si>
  <si>
    <t>Hunter</t>
  </si>
  <si>
    <t>Investigator</t>
  </si>
  <si>
    <t>Shaman</t>
  </si>
  <si>
    <t>Skald</t>
  </si>
  <si>
    <t>Swashbuckler</t>
  </si>
  <si>
    <t>Warpriest</t>
  </si>
  <si>
    <t>Unchained Barbarian</t>
  </si>
  <si>
    <t>Unchained Monk</t>
  </si>
  <si>
    <t>Unchained Rogue</t>
  </si>
  <si>
    <t>Unchained Summoner</t>
  </si>
  <si>
    <t>Kineticist</t>
  </si>
  <si>
    <t>Medium</t>
  </si>
  <si>
    <t>Mesmerist</t>
  </si>
  <si>
    <t>Occultist</t>
  </si>
  <si>
    <t>Psychic</t>
  </si>
  <si>
    <t>Spiritualist</t>
  </si>
  <si>
    <t>Class</t>
  </si>
  <si>
    <t>HD</t>
  </si>
  <si>
    <t>1/2HD</t>
  </si>
  <si>
    <t>BAB</t>
  </si>
  <si>
    <t>Slayer</t>
  </si>
  <si>
    <t>Player</t>
  </si>
  <si>
    <t>Level</t>
  </si>
  <si>
    <t>Deity</t>
  </si>
  <si>
    <t>Race</t>
  </si>
  <si>
    <t>Size</t>
  </si>
  <si>
    <t>Gender</t>
  </si>
  <si>
    <t>Age</t>
  </si>
  <si>
    <t xml:space="preserve">Height </t>
  </si>
  <si>
    <t>Weight</t>
  </si>
  <si>
    <t>Eyes</t>
  </si>
  <si>
    <t>Hair</t>
  </si>
  <si>
    <t>Skills</t>
  </si>
  <si>
    <t>Score</t>
  </si>
  <si>
    <t>Mod</t>
  </si>
  <si>
    <t>Base</t>
  </si>
  <si>
    <t>Enh.</t>
  </si>
  <si>
    <t>STR</t>
  </si>
  <si>
    <t>DEX</t>
  </si>
  <si>
    <t>CON</t>
  </si>
  <si>
    <t>INT</t>
  </si>
  <si>
    <t>WIS</t>
  </si>
  <si>
    <t>CHA</t>
  </si>
  <si>
    <t>Damage</t>
  </si>
  <si>
    <t>Initiative</t>
  </si>
  <si>
    <t>Dex</t>
  </si>
  <si>
    <t>Misc.</t>
  </si>
  <si>
    <t>AC</t>
  </si>
  <si>
    <t>Armor</t>
  </si>
  <si>
    <t>Shield</t>
  </si>
  <si>
    <t>Nat</t>
  </si>
  <si>
    <t>Def</t>
  </si>
  <si>
    <t>Other</t>
  </si>
  <si>
    <t>Fine</t>
  </si>
  <si>
    <t>Diminutive</t>
  </si>
  <si>
    <t>Tiny</t>
  </si>
  <si>
    <t>Small</t>
  </si>
  <si>
    <t>Large</t>
  </si>
  <si>
    <t>Huge</t>
  </si>
  <si>
    <t>Gargantuan</t>
  </si>
  <si>
    <t>Colossal</t>
  </si>
  <si>
    <t>Flat</t>
  </si>
  <si>
    <t>Touch</t>
  </si>
  <si>
    <t>Dodge</t>
  </si>
  <si>
    <t>Fort</t>
  </si>
  <si>
    <t>Will</t>
  </si>
  <si>
    <t>Reflex</t>
  </si>
  <si>
    <t>Refex</t>
  </si>
  <si>
    <t>Caution advised when modifying this worksheet!</t>
  </si>
  <si>
    <t>Animal Companion</t>
  </si>
  <si>
    <t>Adept</t>
  </si>
  <si>
    <t>Aristocrat</t>
  </si>
  <si>
    <t>Commoner</t>
  </si>
  <si>
    <t>Warrior</t>
  </si>
  <si>
    <t>Expert</t>
  </si>
  <si>
    <t>Eidilon (Aquatic)</t>
  </si>
  <si>
    <t>Eidilon (Biped)</t>
  </si>
  <si>
    <t>Eidilon (Quadruped)</t>
  </si>
  <si>
    <t>Eidilon (Serpentine)</t>
  </si>
  <si>
    <t>DR</t>
  </si>
  <si>
    <t>SR</t>
  </si>
  <si>
    <t>ABILITIES</t>
  </si>
  <si>
    <t>CMD</t>
  </si>
  <si>
    <t>DEFENSE</t>
  </si>
  <si>
    <t>OFFENSE</t>
  </si>
  <si>
    <t>Misc</t>
  </si>
  <si>
    <t>Total</t>
  </si>
  <si>
    <t xml:space="preserve">HP   </t>
  </si>
  <si>
    <t>Miscelleaneous Bonuses</t>
  </si>
  <si>
    <t>CMB</t>
  </si>
  <si>
    <t>Range</t>
  </si>
  <si>
    <t>Dex Attacks</t>
  </si>
  <si>
    <t>Strength Atttacks</t>
  </si>
  <si>
    <t>Weapon</t>
  </si>
  <si>
    <t>Attack</t>
  </si>
  <si>
    <t>Crit</t>
  </si>
  <si>
    <t>Special</t>
  </si>
  <si>
    <t>Hit Mod.</t>
  </si>
  <si>
    <t>Dex/Str</t>
  </si>
  <si>
    <t>Str</t>
  </si>
  <si>
    <t>Name</t>
  </si>
  <si>
    <t>Left</t>
  </si>
  <si>
    <t>CLASS ABILITIES</t>
  </si>
  <si>
    <t>Per Day Abilities</t>
  </si>
  <si>
    <t>Con</t>
  </si>
  <si>
    <t>Int</t>
  </si>
  <si>
    <t>Wis</t>
  </si>
  <si>
    <t>Cha</t>
  </si>
  <si>
    <t>pbSum</t>
  </si>
  <si>
    <t>EXPERIENCE</t>
  </si>
  <si>
    <t>Acrobatics</t>
  </si>
  <si>
    <t>Appraise</t>
  </si>
  <si>
    <t>Bluff</t>
  </si>
  <si>
    <t>Climb</t>
  </si>
  <si>
    <t>Craft</t>
  </si>
  <si>
    <t>Diplomacy</t>
  </si>
  <si>
    <t>Disable Device</t>
  </si>
  <si>
    <t>Disguise</t>
  </si>
  <si>
    <t>Escape Artist</t>
  </si>
  <si>
    <t>Fly</t>
  </si>
  <si>
    <t>Handle Animal</t>
  </si>
  <si>
    <t>Heal</t>
  </si>
  <si>
    <t>Intimidate</t>
  </si>
  <si>
    <t>Kn: Arcana</t>
  </si>
  <si>
    <t>Kn: Dungeoneering</t>
  </si>
  <si>
    <t>Kn: Engineering</t>
  </si>
  <si>
    <t>Kn: Geography</t>
  </si>
  <si>
    <t>Kn: History</t>
  </si>
  <si>
    <t>Kn: Local</t>
  </si>
  <si>
    <t>Kn: Nature</t>
  </si>
  <si>
    <t>Kn: Nobility</t>
  </si>
  <si>
    <t>Kn: Planes</t>
  </si>
  <si>
    <t>Kn: Religion</t>
  </si>
  <si>
    <t>Linguistics</t>
  </si>
  <si>
    <t>Perception</t>
  </si>
  <si>
    <t>Perform</t>
  </si>
  <si>
    <t>Profession</t>
  </si>
  <si>
    <t>Ride</t>
  </si>
  <si>
    <t>Sense Motive</t>
  </si>
  <si>
    <t>Sleight of Hand</t>
  </si>
  <si>
    <t>Spellcraft</t>
  </si>
  <si>
    <t>Survival</t>
  </si>
  <si>
    <t>Swim</t>
  </si>
  <si>
    <t>Use Magic Device</t>
  </si>
  <si>
    <t>Ranks</t>
  </si>
  <si>
    <t>Abil.</t>
  </si>
  <si>
    <t>Pen.</t>
  </si>
  <si>
    <t>Armor Penalty</t>
  </si>
  <si>
    <t>C</t>
  </si>
  <si>
    <t>LANGUAGES</t>
  </si>
  <si>
    <t>Skill</t>
  </si>
  <si>
    <t>HP</t>
  </si>
  <si>
    <t>With Armor</t>
  </si>
  <si>
    <t>Burrow</t>
  </si>
  <si>
    <t>Favored Class</t>
  </si>
  <si>
    <t>Multiclass</t>
  </si>
  <si>
    <t>Class 2</t>
  </si>
  <si>
    <t xml:space="preserve">Class 2 </t>
  </si>
  <si>
    <t>Class 3</t>
  </si>
  <si>
    <t>Levels</t>
  </si>
  <si>
    <t>Class 1</t>
  </si>
  <si>
    <t>Align.</t>
  </si>
  <si>
    <t>Total lvl</t>
  </si>
  <si>
    <t>Arcana</t>
  </si>
  <si>
    <t>Dungeoneering</t>
  </si>
  <si>
    <t>Engineering</t>
  </si>
  <si>
    <t>Geography</t>
  </si>
  <si>
    <t>History</t>
  </si>
  <si>
    <t>Local</t>
  </si>
  <si>
    <t>Nature</t>
  </si>
  <si>
    <t>Nobility</t>
  </si>
  <si>
    <t>Planes</t>
  </si>
  <si>
    <t>Religion</t>
  </si>
  <si>
    <t>Stealth</t>
  </si>
  <si>
    <t>Sorcerer</t>
  </si>
  <si>
    <t>Class Skills ------------&gt;</t>
  </si>
  <si>
    <t>Slow</t>
  </si>
  <si>
    <t>Fast</t>
  </si>
  <si>
    <t>Progression:</t>
  </si>
  <si>
    <t>Points</t>
  </si>
  <si>
    <t>Saves</t>
  </si>
  <si>
    <t>Enhancement</t>
  </si>
  <si>
    <t>Sacred</t>
  </si>
  <si>
    <t>Competence</t>
  </si>
  <si>
    <t>Morale</t>
  </si>
  <si>
    <t>Untyped</t>
  </si>
  <si>
    <t>Alchemical</t>
  </si>
  <si>
    <t>Circumstance</t>
  </si>
  <si>
    <t>Deflection</t>
  </si>
  <si>
    <t>Insight</t>
  </si>
  <si>
    <t>Luck</t>
  </si>
  <si>
    <t>Natural Armor</t>
  </si>
  <si>
    <t>Profane</t>
  </si>
  <si>
    <t>Resistance</t>
  </si>
  <si>
    <t>TEMPORARY BONUSES CONSOLE</t>
  </si>
  <si>
    <t>Ability*</t>
  </si>
  <si>
    <t>Damage*</t>
  </si>
  <si>
    <t>INITIATIVE</t>
  </si>
  <si>
    <t>SKILLS</t>
  </si>
  <si>
    <t>MULTICLASSING</t>
  </si>
  <si>
    <t>FAVORED CLASS BONUSES</t>
  </si>
  <si>
    <t>MOVEMENT</t>
  </si>
  <si>
    <t>TRAITS</t>
  </si>
  <si>
    <t>FEATS</t>
  </si>
  <si>
    <t>Flatfoot</t>
  </si>
  <si>
    <t>Description</t>
  </si>
  <si>
    <t>Save</t>
  </si>
  <si>
    <t>Cast Time</t>
  </si>
  <si>
    <t>Duration</t>
  </si>
  <si>
    <t>DC</t>
  </si>
  <si>
    <t>Per Day</t>
  </si>
  <si>
    <t>Level 0</t>
  </si>
  <si>
    <t>Concentration</t>
  </si>
  <si>
    <t>Caster Stat</t>
  </si>
  <si>
    <t>Level 1</t>
  </si>
  <si>
    <t>Level 2</t>
  </si>
  <si>
    <t>/0</t>
  </si>
  <si>
    <t>Level 3</t>
  </si>
  <si>
    <t>Level 4</t>
  </si>
  <si>
    <t>Level 5</t>
  </si>
  <si>
    <t>Level 6</t>
  </si>
  <si>
    <t>Level 7</t>
  </si>
  <si>
    <t>Level 8</t>
  </si>
  <si>
    <t>Level 9</t>
  </si>
  <si>
    <t>SPELLBOOK</t>
  </si>
  <si>
    <t>Copying Spells</t>
  </si>
  <si>
    <t>Cost</t>
  </si>
  <si>
    <t>SPELLS KNOWN/PREPARED SPELLS</t>
  </si>
  <si>
    <t>Spell-Like Abilities</t>
  </si>
  <si>
    <t>NOTES</t>
  </si>
  <si>
    <t>Item</t>
  </si>
  <si>
    <t>Qt.</t>
  </si>
  <si>
    <t>Value</t>
  </si>
  <si>
    <t>Light</t>
  </si>
  <si>
    <t>Heavy</t>
  </si>
  <si>
    <t>Gold</t>
  </si>
  <si>
    <t>Silver</t>
  </si>
  <si>
    <t>Copper</t>
  </si>
  <si>
    <t>Platinum</t>
  </si>
  <si>
    <t>Wealth</t>
  </si>
  <si>
    <t>Capacity</t>
  </si>
  <si>
    <t>GEAR</t>
  </si>
  <si>
    <t>Carrying</t>
  </si>
  <si>
    <t>On Person</t>
  </si>
  <si>
    <t>Backpack</t>
  </si>
  <si>
    <t>Container #1</t>
  </si>
  <si>
    <t>Container #2</t>
  </si>
  <si>
    <t>Wt.</t>
  </si>
  <si>
    <t>Tot.</t>
  </si>
  <si>
    <t>MW Pack?</t>
  </si>
  <si>
    <t>Yes</t>
  </si>
  <si>
    <t>No</t>
  </si>
  <si>
    <t>Drag</t>
  </si>
  <si>
    <t>Ant's Haul?</t>
  </si>
  <si>
    <t>*Ability and Damage bonuses are not automatically added above. They are just here for your reference.</t>
  </si>
  <si>
    <t>Agent of the Grave</t>
  </si>
  <si>
    <t>Aldori Swordlord</t>
  </si>
  <si>
    <t>Arcane Archer</t>
  </si>
  <si>
    <t>Arcane Trickster</t>
  </si>
  <si>
    <t>Arclord of Nex</t>
  </si>
  <si>
    <t>Aspis Agent</t>
  </si>
  <si>
    <t>Assassin</t>
  </si>
  <si>
    <t>Battle Herald</t>
  </si>
  <si>
    <t>Bellflower Tiller</t>
  </si>
  <si>
    <t>Blackfire Adept</t>
  </si>
  <si>
    <t>Bloatmage</t>
  </si>
  <si>
    <t>Brother of the Seal</t>
  </si>
  <si>
    <t>Champion of Irori</t>
  </si>
  <si>
    <t>Cyphermage</t>
  </si>
  <si>
    <t>Daggermark Poisoner</t>
  </si>
  <si>
    <t>Daivrat</t>
  </si>
  <si>
    <t>Dawnflower Dissident</t>
  </si>
  <si>
    <t>Demoniac</t>
  </si>
  <si>
    <t>Diabolist</t>
  </si>
  <si>
    <t>Divine Scion</t>
  </si>
  <si>
    <t>Dragon Disciple</t>
  </si>
  <si>
    <t>Duelist</t>
  </si>
  <si>
    <t>Eldritch Knight</t>
  </si>
  <si>
    <t>Envoy of Balance</t>
  </si>
  <si>
    <t>Evangelist</t>
  </si>
  <si>
    <t>Exalted</t>
  </si>
  <si>
    <t>Golden Legionnaire</t>
  </si>
  <si>
    <t>Gray Gardener</t>
  </si>
  <si>
    <t>Green Faith Acolyte</t>
  </si>
  <si>
    <t>Halfling Opportunist</t>
  </si>
  <si>
    <t>Harrower</t>
  </si>
  <si>
    <t>Hellknight</t>
  </si>
  <si>
    <t>Hellknight Signifer</t>
  </si>
  <si>
    <t>Holy Vindicator</t>
  </si>
  <si>
    <t>Horizon Walker</t>
  </si>
  <si>
    <t>Inheritor's Crusader</t>
  </si>
  <si>
    <t>Inner Sea Pirate</t>
  </si>
  <si>
    <t>Knight of Ozem</t>
  </si>
  <si>
    <t>Lantern Bearer</t>
  </si>
  <si>
    <t>Living Monolith</t>
  </si>
  <si>
    <t>Loremaster</t>
  </si>
  <si>
    <t>Low Templar</t>
  </si>
  <si>
    <t>Magaambyan Arcanist</t>
  </si>
  <si>
    <t>Mammoth Rider</t>
  </si>
  <si>
    <t>Master Chymist</t>
  </si>
  <si>
    <t>Master Spy</t>
  </si>
  <si>
    <t>Mystery Cultist</t>
  </si>
  <si>
    <t>Mystic Theurge</t>
  </si>
  <si>
    <t>Nature Warden</t>
  </si>
  <si>
    <t>Noble Scion</t>
  </si>
  <si>
    <t>Pain Taster</t>
  </si>
  <si>
    <t>Pathfinder Chronicler</t>
  </si>
  <si>
    <t>Pathfinder Delver</t>
  </si>
  <si>
    <t>Pathfinder Field Agent</t>
  </si>
  <si>
    <t>Pathfinder Savant</t>
  </si>
  <si>
    <t>Pit Fighter</t>
  </si>
  <si>
    <t>Prophet of Kalistrade</t>
  </si>
  <si>
    <t>Pure Legion Enforcer</t>
  </si>
  <si>
    <t>Rage Prophet</t>
  </si>
  <si>
    <t>Razmiran Priest</t>
  </si>
  <si>
    <t>Red Mantis Assassin</t>
  </si>
  <si>
    <t>Riftwarden</t>
  </si>
  <si>
    <t>Sentinel</t>
  </si>
  <si>
    <t>Shadowdancer</t>
  </si>
  <si>
    <t>Shieldmarshal</t>
  </si>
  <si>
    <t>Skyseeker</t>
  </si>
  <si>
    <t>Sleepless Detective</t>
  </si>
  <si>
    <t>Soul Warden</t>
  </si>
  <si>
    <t>Souldrinker</t>
  </si>
  <si>
    <t>Stalwart Defender</t>
  </si>
  <si>
    <t>Steel Falcon</t>
  </si>
  <si>
    <t>Storm Kindler</t>
  </si>
  <si>
    <t>Student of War</t>
  </si>
  <si>
    <t>Tattooed Mystic</t>
  </si>
  <si>
    <t>Technomancer</t>
  </si>
  <si>
    <t>Thuvian Alchemist</t>
  </si>
  <si>
    <t>Ulfen Guard</t>
  </si>
  <si>
    <t>Umbral Court Agent</t>
  </si>
  <si>
    <t>Veiled Illusionist</t>
  </si>
  <si>
    <t>Winter Witch</t>
  </si>
  <si>
    <t>CasterStat</t>
  </si>
  <si>
    <t>Temp HP</t>
  </si>
  <si>
    <t>XPProg</t>
  </si>
  <si>
    <t>totBAB</t>
  </si>
  <si>
    <t>Attack 2</t>
  </si>
  <si>
    <t>Attack 1</t>
  </si>
  <si>
    <t>Attack 3</t>
  </si>
  <si>
    <t>Attack 4</t>
  </si>
  <si>
    <t>Attack 5</t>
  </si>
  <si>
    <t>Version</t>
  </si>
  <si>
    <t>Date</t>
  </si>
  <si>
    <t>Details</t>
  </si>
  <si>
    <t>Created Basic Sheet, Spells, Gear and Notes</t>
  </si>
  <si>
    <t>Pass</t>
  </si>
  <si>
    <t>Miscellaneous Bonuses</t>
  </si>
  <si>
    <t>N/A</t>
  </si>
  <si>
    <t>Barbarian (Unchained)</t>
  </si>
  <si>
    <t>Monk (Unchained)</t>
  </si>
  <si>
    <t>Rogue (Unchained)</t>
  </si>
  <si>
    <t>Summoner (Unchained)</t>
  </si>
  <si>
    <t>Author</t>
  </si>
  <si>
    <t>L.Eaves</t>
  </si>
  <si>
    <t>PROFICIENCIES</t>
  </si>
  <si>
    <t>Dwarf</t>
  </si>
  <si>
    <t>Elf</t>
  </si>
  <si>
    <t>Gnome</t>
  </si>
  <si>
    <t>Halfling</t>
  </si>
  <si>
    <t>Aasimar</t>
  </si>
  <si>
    <t>Android</t>
  </si>
  <si>
    <t>Catfolk</t>
  </si>
  <si>
    <t>Changeling</t>
  </si>
  <si>
    <t>Dhampir</t>
  </si>
  <si>
    <t>Drow</t>
  </si>
  <si>
    <t>Duergar</t>
  </si>
  <si>
    <t>Fetchling</t>
  </si>
  <si>
    <t>Gathlain</t>
  </si>
  <si>
    <t>Ghoran</t>
  </si>
  <si>
    <t>Gillmen</t>
  </si>
  <si>
    <t>Goblin</t>
  </si>
  <si>
    <t>Gnoll</t>
  </si>
  <si>
    <t>Grippli</t>
  </si>
  <si>
    <t>Hobgoblin</t>
  </si>
  <si>
    <t>Ifrit</t>
  </si>
  <si>
    <t>Kasatha</t>
  </si>
  <si>
    <t>Kitsune</t>
  </si>
  <si>
    <t>Kobold</t>
  </si>
  <si>
    <t>Lizardfolk</t>
  </si>
  <si>
    <t>Merfolk</t>
  </si>
  <si>
    <t>Monkey Goblin</t>
  </si>
  <si>
    <t>Nagaji</t>
  </si>
  <si>
    <t>Orc</t>
  </si>
  <si>
    <t>Oread</t>
  </si>
  <si>
    <t>Ratfolk</t>
  </si>
  <si>
    <t>Samsaran</t>
  </si>
  <si>
    <t>Shabti</t>
  </si>
  <si>
    <t>Skinwalker</t>
  </si>
  <si>
    <t>Strix</t>
  </si>
  <si>
    <t>Suli</t>
  </si>
  <si>
    <t>Svirfneblin</t>
  </si>
  <si>
    <t>Sylph</t>
  </si>
  <si>
    <t>Tengu</t>
  </si>
  <si>
    <t>Tiefling</t>
  </si>
  <si>
    <t>Triaxian</t>
  </si>
  <si>
    <t>Undine</t>
  </si>
  <si>
    <t>Vanara</t>
  </si>
  <si>
    <t>Vishkanya</t>
  </si>
  <si>
    <t>Wayang</t>
  </si>
  <si>
    <t>Wyrwood</t>
  </si>
  <si>
    <t>Wyvaran</t>
  </si>
  <si>
    <t>Half-Elf (Str)</t>
  </si>
  <si>
    <t>Half-Elf (Dex)</t>
  </si>
  <si>
    <t>Half-Elf (Con)</t>
  </si>
  <si>
    <t>Half-Elf (Int)</t>
  </si>
  <si>
    <t>Half-Elf (Wis)</t>
  </si>
  <si>
    <t>Half-Elf (Cha)</t>
  </si>
  <si>
    <t>Half-Orc (Str)</t>
  </si>
  <si>
    <t>Half-Orc (Dex)</t>
  </si>
  <si>
    <t>Half-Orc (Con)</t>
  </si>
  <si>
    <t>Half-Orc (Int)</t>
  </si>
  <si>
    <t>Half-Orc (Wis)</t>
  </si>
  <si>
    <t>Half-Orc (Cha)</t>
  </si>
  <si>
    <t>Human (Str)</t>
  </si>
  <si>
    <t>Human (Dex)</t>
  </si>
  <si>
    <t>Human (Con)</t>
  </si>
  <si>
    <t>Human (Int)</t>
  </si>
  <si>
    <t>Human (Wis)</t>
  </si>
  <si>
    <t>Human (Cha)</t>
  </si>
  <si>
    <t>Aasimar (Agathion)</t>
  </si>
  <si>
    <t>Aasimar (Angel)</t>
  </si>
  <si>
    <t>Aasimar (Archon)</t>
  </si>
  <si>
    <t>Aasimar (Azata)</t>
  </si>
  <si>
    <t>Aasimar (Garuda)</t>
  </si>
  <si>
    <t>Aasimar (Peri)</t>
  </si>
  <si>
    <t>Lashunta (Male)</t>
  </si>
  <si>
    <t>Lashunta (Female)</t>
  </si>
  <si>
    <t>Skinwalker (Bloodmarked)</t>
  </si>
  <si>
    <t>Skinwalker (Coldborn)</t>
  </si>
  <si>
    <t>Skinwalker (Ragebred)</t>
  </si>
  <si>
    <t>Skinwalker (Scaleheart)</t>
  </si>
  <si>
    <t>Skinwalker (Nightskulk)</t>
  </si>
  <si>
    <t>Skinwalker (Seascarred)</t>
  </si>
  <si>
    <t>Skinwalker (Fanglord)</t>
  </si>
  <si>
    <t>Skinwalker (Witchwolf)</t>
  </si>
  <si>
    <t>Tiefling (Asura)</t>
  </si>
  <si>
    <t>Tiefling (Daemon)</t>
  </si>
  <si>
    <t>Tiefling (Demodand)</t>
  </si>
  <si>
    <t>Tiefling (Demon)</t>
  </si>
  <si>
    <t>Tiefling (Devil)</t>
  </si>
  <si>
    <t>Tiefling (Div)</t>
  </si>
  <si>
    <t>Tiefling (Kyton)</t>
  </si>
  <si>
    <t>Tiefling (Oni)</t>
  </si>
  <si>
    <t>Tiefling (Qlippoth)</t>
  </si>
  <si>
    <t>Tiefling (Rakshasa)</t>
  </si>
  <si>
    <t>Avian</t>
  </si>
  <si>
    <t>Aquatic</t>
  </si>
  <si>
    <t>Biped</t>
  </si>
  <si>
    <t>Quadraped</t>
  </si>
  <si>
    <t>Serpentine</t>
  </si>
  <si>
    <t>Tauric</t>
  </si>
  <si>
    <t>Carnivorous Flower</t>
  </si>
  <si>
    <t>Human Skill</t>
  </si>
  <si>
    <t>PERSONALITY</t>
  </si>
  <si>
    <t>IDEALS</t>
  </si>
  <si>
    <t>FLAWS</t>
  </si>
  <si>
    <t>BONDS</t>
  </si>
  <si>
    <t>BACKSTORY</t>
  </si>
  <si>
    <t>PORTRAIT</t>
  </si>
  <si>
    <t>RACIAL TRAITS</t>
  </si>
  <si>
    <t>/2</t>
  </si>
  <si>
    <t xml:space="preserve">Archetype: </t>
  </si>
  <si>
    <t>Simple</t>
  </si>
  <si>
    <t>Fixed negative int score for skills</t>
  </si>
  <si>
    <t>Shield Penalty</t>
  </si>
  <si>
    <t>Remaining Skills</t>
  </si>
  <si>
    <t>BG Skills</t>
  </si>
  <si>
    <t>Remaining BG Skills</t>
  </si>
  <si>
    <t>BG Skill Tol</t>
  </si>
  <si>
    <t>BG Skill Sum</t>
  </si>
  <si>
    <t>Added background skill implementation</t>
  </si>
  <si>
    <t>*Appraise</t>
  </si>
  <si>
    <t>*Background Skill</t>
  </si>
  <si>
    <t>*Craft</t>
  </si>
  <si>
    <t>*Handle Animal</t>
  </si>
  <si>
    <t>*Kn: Engineering</t>
  </si>
  <si>
    <t>*Kn: Geography</t>
  </si>
  <si>
    <t>*Kn: History</t>
  </si>
  <si>
    <t>*Kn: Nobility</t>
  </si>
  <si>
    <t>*Linguistics</t>
  </si>
  <si>
    <t>*Perform</t>
  </si>
  <si>
    <t>*Sleight of Hand</t>
  </si>
  <si>
    <t>*Profession</t>
  </si>
  <si>
    <t>Read Magic</t>
  </si>
  <si>
    <t>Detect Magic</t>
  </si>
  <si>
    <t>Stabalize</t>
  </si>
  <si>
    <t>Guidance</t>
  </si>
  <si>
    <t>Bless</t>
  </si>
  <si>
    <t>Cure Light Wounds</t>
  </si>
  <si>
    <t>Aid</t>
  </si>
  <si>
    <t>Barkskin</t>
  </si>
  <si>
    <t>Summon Nature's Ally III</t>
  </si>
  <si>
    <t>Good Save</t>
  </si>
  <si>
    <t>Fixed Saving throws for multiclassing</t>
  </si>
  <si>
    <t>Fixed Saving throws for prestige classes</t>
  </si>
  <si>
    <t>Fixed 2nd Class Skills and BG Skills for multiclass</t>
  </si>
  <si>
    <t>Fixed heavy carrying capacity and fast xp track</t>
  </si>
  <si>
    <t>simple</t>
  </si>
  <si>
    <t>Fixed high level backwards dex</t>
  </si>
  <si>
    <t>Fixed MWK Backpack indicator</t>
  </si>
  <si>
    <t>Fix diguise class skill for Mesmerist</t>
  </si>
  <si>
    <t>Fixed DC for 8th and 9th level</t>
  </si>
  <si>
    <t>Max Dex</t>
  </si>
  <si>
    <t>Hide Armor</t>
  </si>
  <si>
    <t>Remaining Reg Skills</t>
  </si>
  <si>
    <t>Added Max Dex for Armor and Calculation for non-BG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</si>
</sst>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&quot;0;\-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scheme val="minor"/>
    </font>
    <font>
      <u/>
      <sz val="11"/>
      <color rgb="FF0000FF"/>
      <name val="Calibri"/>
    </font>
    <font>
      <sz val="11"/>
      <name val="Calibri"/>
    </font>
    <font>
      <b/>
      <sz val="12"/>
      <color rgb="FFFFFFFF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rgb="FF000000"/>
      </patternFill>
    </fill>
  </fills>
  <borders count="9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/>
      <diagonal/>
    </border>
  </borders>
  <cellStyleXfs count="75">
    <xf numFmtId="0" fontId="0" fillId="0" borderId="0"/>
    <xf numFmtId="0" fontId="4" fillId="2" borderId="1">
      <alignment horizont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>
      <alignment vertical="top"/>
      <protection locked="0"/>
    </xf>
    <xf numFmtId="0" fontId="14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12" xfId="0" applyBorder="1"/>
    <xf numFmtId="0" fontId="4" fillId="2" borderId="25" xfId="1" applyBorder="1" applyAlignment="1">
      <alignment horizontal="center"/>
    </xf>
    <xf numFmtId="0" fontId="4" fillId="2" borderId="4" xfId="1" applyBorder="1" applyAlignment="1">
      <alignment horizontal="center"/>
    </xf>
    <xf numFmtId="0" fontId="0" fillId="0" borderId="8" xfId="0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right"/>
    </xf>
    <xf numFmtId="164" fontId="0" fillId="0" borderId="19" xfId="0" applyNumberForma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9" xfId="0" applyFill="1" applyBorder="1" applyAlignment="1">
      <alignment horizontal="center"/>
    </xf>
    <xf numFmtId="0" fontId="0" fillId="0" borderId="20" xfId="0" applyBorder="1"/>
    <xf numFmtId="0" fontId="0" fillId="0" borderId="19" xfId="0" applyBorder="1"/>
    <xf numFmtId="164" fontId="0" fillId="0" borderId="3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0" borderId="30" xfId="0" applyBorder="1"/>
    <xf numFmtId="0" fontId="1" fillId="0" borderId="23" xfId="0" applyFont="1" applyBorder="1" applyAlignment="1">
      <alignment horizontal="right"/>
    </xf>
    <xf numFmtId="0" fontId="3" fillId="0" borderId="47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0" fillId="0" borderId="44" xfId="0" applyBorder="1" applyAlignment="1">
      <alignment horizontal="center"/>
    </xf>
    <xf numFmtId="0" fontId="1" fillId="0" borderId="34" xfId="0" applyFont="1" applyBorder="1" applyAlignment="1">
      <alignment horizontal="right"/>
    </xf>
    <xf numFmtId="164" fontId="0" fillId="0" borderId="52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0" fontId="0" fillId="0" borderId="51" xfId="0" applyBorder="1"/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7" xfId="0" applyFont="1" applyBorder="1"/>
    <xf numFmtId="0" fontId="0" fillId="0" borderId="0" xfId="0" applyBorder="1"/>
    <xf numFmtId="0" fontId="0" fillId="0" borderId="11" xfId="0" applyBorder="1"/>
    <xf numFmtId="0" fontId="0" fillId="0" borderId="5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3" borderId="37" xfId="0" applyNumberFormat="1" applyFill="1" applyBorder="1" applyAlignment="1">
      <alignment horizontal="center"/>
    </xf>
    <xf numFmtId="164" fontId="0" fillId="3" borderId="51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1" fillId="0" borderId="61" xfId="0" applyFont="1" applyBorder="1" applyAlignment="1">
      <alignment horizontal="right"/>
    </xf>
    <xf numFmtId="164" fontId="0" fillId="0" borderId="61" xfId="0" applyNumberFormat="1" applyBorder="1" applyAlignment="1">
      <alignment horizontal="center"/>
    </xf>
    <xf numFmtId="0" fontId="0" fillId="3" borderId="62" xfId="0" applyFill="1" applyBorder="1" applyAlignment="1">
      <alignment horizontal="center"/>
    </xf>
    <xf numFmtId="164" fontId="0" fillId="3" borderId="62" xfId="0" applyNumberFormat="1" applyFill="1" applyBorder="1" applyAlignment="1">
      <alignment horizontal="center"/>
    </xf>
    <xf numFmtId="164" fontId="0" fillId="3" borderId="6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9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2" borderId="72" xfId="1" applyBorder="1" applyAlignment="1"/>
    <xf numFmtId="0" fontId="6" fillId="0" borderId="0" xfId="0" applyFont="1"/>
    <xf numFmtId="0" fontId="1" fillId="0" borderId="43" xfId="0" applyFont="1" applyBorder="1" applyAlignment="1">
      <alignment horizontal="center"/>
    </xf>
    <xf numFmtId="0" fontId="0" fillId="0" borderId="12" xfId="0" applyBorder="1" applyAlignment="1"/>
    <xf numFmtId="0" fontId="0" fillId="0" borderId="0" xfId="0" applyFont="1" applyAlignment="1">
      <alignment horizontal="right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4" borderId="4" xfId="0" applyNumberFormat="1" applyFill="1" applyBorder="1" applyAlignment="1">
      <alignment horizontal="center" vertical="center" wrapText="1"/>
    </xf>
    <xf numFmtId="164" fontId="0" fillId="0" borderId="17" xfId="0" applyNumberFormat="1" applyFill="1" applyBorder="1" applyAlignment="1">
      <alignment horizontal="center" vertical="center" wrapText="1"/>
    </xf>
    <xf numFmtId="164" fontId="0" fillId="0" borderId="17" xfId="0" applyNumberFormat="1" applyFill="1" applyBorder="1" applyAlignment="1">
      <alignment horizontal="center"/>
    </xf>
    <xf numFmtId="164" fontId="0" fillId="0" borderId="78" xfId="0" applyNumberForma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0" fillId="0" borderId="10" xfId="0" applyBorder="1"/>
    <xf numFmtId="164" fontId="0" fillId="0" borderId="39" xfId="0" applyNumberForma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15" xfId="0" applyBorder="1"/>
    <xf numFmtId="0" fontId="0" fillId="0" borderId="21" xfId="0" applyBorder="1"/>
    <xf numFmtId="0" fontId="0" fillId="0" borderId="19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0" fillId="0" borderId="70" xfId="0" applyBorder="1"/>
    <xf numFmtId="0" fontId="0" fillId="0" borderId="37" xfId="0" applyBorder="1"/>
    <xf numFmtId="0" fontId="0" fillId="0" borderId="18" xfId="0" applyBorder="1"/>
    <xf numFmtId="0" fontId="0" fillId="0" borderId="75" xfId="0" applyBorder="1"/>
    <xf numFmtId="0" fontId="3" fillId="0" borderId="57" xfId="0" applyFont="1" applyBorder="1" applyAlignment="1">
      <alignment horizontal="center"/>
    </xf>
    <xf numFmtId="0" fontId="0" fillId="0" borderId="38" xfId="0" applyBorder="1"/>
    <xf numFmtId="0" fontId="0" fillId="0" borderId="23" xfId="0" applyBorder="1"/>
    <xf numFmtId="0" fontId="0" fillId="0" borderId="34" xfId="0" applyBorder="1"/>
    <xf numFmtId="0" fontId="0" fillId="0" borderId="10" xfId="0" applyBorder="1" applyAlignment="1"/>
    <xf numFmtId="0" fontId="0" fillId="0" borderId="60" xfId="0" applyBorder="1" applyAlignment="1"/>
    <xf numFmtId="0" fontId="0" fillId="0" borderId="85" xfId="0" applyBorder="1" applyAlignment="1"/>
    <xf numFmtId="0" fontId="0" fillId="0" borderId="7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0" fillId="0" borderId="84" xfId="0" applyBorder="1"/>
    <xf numFmtId="0" fontId="1" fillId="0" borderId="84" xfId="0" applyFont="1" applyBorder="1" applyAlignment="1">
      <alignment horizontal="center"/>
    </xf>
    <xf numFmtId="0" fontId="0" fillId="0" borderId="83" xfId="0" applyBorder="1"/>
    <xf numFmtId="0" fontId="0" fillId="0" borderId="18" xfId="0" applyBorder="1" applyAlignment="1"/>
    <xf numFmtId="0" fontId="0" fillId="0" borderId="84" xfId="0" applyBorder="1" applyAlignment="1">
      <alignment horizontal="center"/>
    </xf>
    <xf numFmtId="0" fontId="0" fillId="0" borderId="83" xfId="0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164" fontId="0" fillId="0" borderId="86" xfId="0" applyNumberFormat="1" applyBorder="1" applyAlignment="1">
      <alignment horizontal="center"/>
    </xf>
    <xf numFmtId="0" fontId="0" fillId="0" borderId="0" xfId="0" applyBorder="1" applyAlignment="1"/>
    <xf numFmtId="14" fontId="0" fillId="0" borderId="0" xfId="0" applyNumberFormat="1"/>
    <xf numFmtId="165" fontId="0" fillId="0" borderId="0" xfId="0" applyNumberFormat="1"/>
    <xf numFmtId="0" fontId="0" fillId="0" borderId="8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5" xfId="0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1" fillId="0" borderId="28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6" xfId="0" applyFont="1" applyBorder="1" applyAlignment="1"/>
    <xf numFmtId="0" fontId="9" fillId="0" borderId="38" xfId="0" applyFont="1" applyBorder="1" applyAlignment="1"/>
    <xf numFmtId="0" fontId="9" fillId="0" borderId="43" xfId="0" applyFont="1" applyBorder="1"/>
    <xf numFmtId="0" fontId="9" fillId="0" borderId="22" xfId="0" applyFont="1" applyBorder="1" applyAlignment="1"/>
    <xf numFmtId="0" fontId="9" fillId="0" borderId="23" xfId="0" applyFont="1" applyBorder="1" applyAlignment="1"/>
    <xf numFmtId="0" fontId="9" fillId="0" borderId="9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3" xfId="0" applyBorder="1" applyAlignment="1"/>
    <xf numFmtId="0" fontId="0" fillId="0" borderId="9" xfId="0" applyFont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5" fillId="0" borderId="57" xfId="0" applyFont="1" applyBorder="1"/>
    <xf numFmtId="12" fontId="0" fillId="0" borderId="0" xfId="0" applyNumberFormat="1" applyFont="1" applyAlignment="1">
      <alignment horizontal="center"/>
    </xf>
    <xf numFmtId="12" fontId="1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2" fontId="16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6" fillId="0" borderId="9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95" xfId="0" applyFont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0" fontId="15" fillId="6" borderId="65" xfId="0" applyFont="1" applyFill="1" applyBorder="1" applyAlignment="1">
      <alignment horizontal="center"/>
    </xf>
    <xf numFmtId="0" fontId="4" fillId="2" borderId="72" xfId="1" applyBorder="1" applyAlignment="1">
      <alignment horizontal="center"/>
    </xf>
    <xf numFmtId="0" fontId="4" fillId="2" borderId="67" xfId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2" fillId="5" borderId="8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74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4" fillId="2" borderId="5" xfId="1" applyBorder="1" applyAlignment="1">
      <alignment horizontal="center"/>
    </xf>
    <xf numFmtId="0" fontId="4" fillId="2" borderId="6" xfId="1" applyBorder="1" applyAlignment="1">
      <alignment horizontal="center"/>
    </xf>
    <xf numFmtId="0" fontId="4" fillId="2" borderId="7" xfId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4" fillId="2" borderId="24" xfId="1" applyBorder="1" applyAlignment="1">
      <alignment horizontal="center"/>
    </xf>
    <xf numFmtId="0" fontId="4" fillId="2" borderId="87" xfId="1" applyBorder="1" applyAlignment="1">
      <alignment horizontal="center"/>
    </xf>
    <xf numFmtId="0" fontId="4" fillId="2" borderId="14" xfId="1" applyBorder="1" applyAlignment="1">
      <alignment horizontal="center"/>
    </xf>
    <xf numFmtId="0" fontId="4" fillId="2" borderId="31" xfId="1" applyBorder="1" applyAlignment="1">
      <alignment horizontal="center"/>
    </xf>
    <xf numFmtId="0" fontId="4" fillId="2" borderId="65" xfId="1" applyBorder="1" applyAlignment="1">
      <alignment horizontal="center"/>
    </xf>
    <xf numFmtId="0" fontId="4" fillId="2" borderId="16" xfId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88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3" borderId="34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89" xfId="0" applyBorder="1" applyAlignment="1">
      <alignment horizontal="center"/>
    </xf>
    <xf numFmtId="0" fontId="1" fillId="0" borderId="30" xfId="0" applyFont="1" applyBorder="1" applyAlignment="1">
      <alignment horizontal="right"/>
    </xf>
    <xf numFmtId="0" fontId="1" fillId="0" borderId="66" xfId="0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26" xfId="1" applyBorder="1" applyAlignment="1">
      <alignment horizontal="center"/>
    </xf>
    <xf numFmtId="0" fontId="4" fillId="2" borderId="71" xfId="1" applyBorder="1" applyAlignment="1">
      <alignment horizontal="center"/>
    </xf>
    <xf numFmtId="0" fontId="4" fillId="2" borderId="41" xfId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2" borderId="27" xfId="1" applyBorder="1" applyAlignment="1">
      <alignment horizontal="center"/>
    </xf>
    <xf numFmtId="0" fontId="0" fillId="0" borderId="6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26" xfId="0" applyFont="1" applyBorder="1" applyAlignment="1">
      <alignment horizontal="right"/>
    </xf>
    <xf numFmtId="0" fontId="5" fillId="0" borderId="71" xfId="0" applyFont="1" applyBorder="1" applyAlignment="1">
      <alignment horizontal="right"/>
    </xf>
    <xf numFmtId="164" fontId="0" fillId="3" borderId="38" xfId="0" applyNumberFormat="1" applyFill="1" applyBorder="1" applyAlignment="1">
      <alignment horizontal="center"/>
    </xf>
    <xf numFmtId="164" fontId="0" fillId="3" borderId="43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0" fontId="1" fillId="0" borderId="94" xfId="0" applyFont="1" applyBorder="1" applyAlignment="1">
      <alignment horizontal="right"/>
    </xf>
    <xf numFmtId="0" fontId="1" fillId="0" borderId="61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92" xfId="0" applyFont="1" applyBorder="1" applyAlignment="1">
      <alignment horizontal="right"/>
    </xf>
    <xf numFmtId="0" fontId="1" fillId="0" borderId="93" xfId="0" applyFont="1" applyBorder="1" applyAlignment="1">
      <alignment horizontal="right"/>
    </xf>
    <xf numFmtId="0" fontId="1" fillId="0" borderId="90" xfId="0" applyFont="1" applyBorder="1" applyAlignment="1">
      <alignment horizontal="right"/>
    </xf>
    <xf numFmtId="0" fontId="1" fillId="0" borderId="91" xfId="0" applyFont="1" applyBorder="1" applyAlignment="1">
      <alignment horizontal="right"/>
    </xf>
    <xf numFmtId="0" fontId="1" fillId="0" borderId="6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85" xfId="0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4" xfId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4" fillId="2" borderId="4" xfId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75"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1" builtinId="9" hidden="1"/>
    <cellStyle name="Followed Hyperlink" xfId="69" builtinId="9" hidden="1"/>
    <cellStyle name="Followed Hyperlink" xfId="67" builtinId="9" hidden="1"/>
    <cellStyle name="Followed Hyperlink" xfId="65" builtinId="9" hidden="1"/>
    <cellStyle name="Followed Hyperlink" xfId="63" builtinId="9" hidden="1"/>
    <cellStyle name="Followed Hyperlink" xfId="61" builtinId="9" hidden="1"/>
    <cellStyle name="Followed Hyperlink" xfId="59" builtinId="9" hidden="1"/>
    <cellStyle name="Followed Hyperlink" xfId="57" builtinId="9" hidden="1"/>
    <cellStyle name="Followed Hyperlink" xfId="55" builtinId="9" hidden="1"/>
    <cellStyle name="Followed Hyperlink" xfId="53" builtinId="9" hidden="1"/>
    <cellStyle name="Followed Hyperlink" xfId="51" builtinId="9" hidden="1"/>
    <cellStyle name="Followed Hyperlink" xfId="49" builtinId="9" hidden="1"/>
    <cellStyle name="Followed Hyperlink" xfId="47" builtinId="9" hidden="1"/>
    <cellStyle name="Followed Hyperlink" xfId="45" builtinId="9" hidden="1"/>
    <cellStyle name="Followed Hyperlink" xfId="43" builtinId="9" hidden="1"/>
    <cellStyle name="Followed Hyperlink" xfId="41" builtinId="9" hidden="1"/>
    <cellStyle name="Followed Hyperlink" xfId="39" builtinId="9" hidden="1"/>
    <cellStyle name="Followed Hyperlink" xfId="30" builtinId="9" hidden="1"/>
    <cellStyle name="Followed Hyperlink" xfId="34" builtinId="9" hidden="1"/>
    <cellStyle name="Followed Hyperlink" xfId="33" builtinId="9" hidden="1"/>
    <cellStyle name="Followed Hyperlink" xfId="21" builtinId="9" hidden="1"/>
    <cellStyle name="Followed Hyperlink" xfId="17" builtinId="9" hidden="1"/>
    <cellStyle name="Followed Hyperlink" xfId="13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9" builtinId="9" hidden="1"/>
    <cellStyle name="Followed Hyperlink" xfId="5" builtinId="9" hidden="1"/>
    <cellStyle name="Followed Hyperlink" xfId="6" builtinId="9" hidden="1"/>
    <cellStyle name="Followed Hyperlink" xfId="3" builtinId="9" hidden="1"/>
    <cellStyle name="Followed Hyperlink" xfId="35" builtinId="9" hidden="1"/>
    <cellStyle name="Followed Hyperlink" xfId="36" builtinId="9" hidden="1"/>
    <cellStyle name="Followed Hyperlink" xfId="38" builtinId="9" hidden="1"/>
    <cellStyle name="Followed Hyperlink" xfId="37" builtinId="9" hidden="1"/>
    <cellStyle name="Followed Hyperlink" xfId="4" builtinId="9" hidden="1"/>
    <cellStyle name="Followed Hyperlink" xfId="12" builtinId="9" hidden="1"/>
    <cellStyle name="Followed Hyperlink" xfId="7" builtinId="9" hidden="1"/>
    <cellStyle name="Followed Hyperlink" xfId="25" builtinId="9" hidden="1"/>
    <cellStyle name="Followed Hyperlink" xfId="28" builtinId="9" hidden="1"/>
    <cellStyle name="Followed Hyperlink" xfId="19" builtinId="9" hidden="1"/>
    <cellStyle name="Followed Hyperlink" xfId="20" builtinId="9" hidden="1"/>
    <cellStyle name="Followed Hyperlink" xfId="23" builtinId="9" hidden="1"/>
    <cellStyle name="Followed Hyperlink" xfId="24" builtinId="9" hidden="1"/>
    <cellStyle name="Followed Hyperlink" xfId="26" builtinId="9" hidden="1"/>
    <cellStyle name="Followed Hyperlink" xfId="22" builtinId="9" hidden="1"/>
    <cellStyle name="Followed Hyperlink" xfId="16" builtinId="9" hidden="1"/>
    <cellStyle name="Followed Hyperlink" xfId="18" builtinId="9" hidden="1"/>
    <cellStyle name="Followed Hyperlink" xfId="15" builtinId="9" hidden="1"/>
    <cellStyle name="Followed Hyperlink" xfId="14" builtinId="9" hidden="1"/>
    <cellStyle name="Followed Hyperlink" xfId="74" builtinId="9" hidden="1"/>
    <cellStyle name="Hyperlink" xfId="27" builtinId="8" hidden="1"/>
    <cellStyle name="Hyperlink" xfId="2" builtinId="8" hidden="1"/>
    <cellStyle name="Hyperlink" xfId="29" builtinId="8" hidden="1"/>
    <cellStyle name="Hyperlink" xfId="31"/>
    <cellStyle name="Normal" xfId="0" builtinId="0"/>
    <cellStyle name="Normal 2" xfId="32"/>
    <cellStyle name="Style 1" xfId="1"/>
  </cellStyles>
  <dxfs count="5"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iFio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 Sheet"/>
      <sheetName val="Spells"/>
      <sheetName val="Gear"/>
      <sheetName val="vals"/>
      <sheetName val="version"/>
      <sheetName val="test cases"/>
      <sheetName val="companion vals"/>
      <sheetName val="Background"/>
      <sheetName val="Summon Options"/>
    </sheetNames>
    <sheetDataSet>
      <sheetData sheetId="0" refreshError="1">
        <row r="2">
          <cell r="F2" t="str">
            <v>Summoner</v>
          </cell>
          <cell r="H2">
            <v>1</v>
          </cell>
          <cell r="I2">
            <v>1</v>
          </cell>
          <cell r="J2" t="str">
            <v>Small</v>
          </cell>
        </row>
        <row r="4">
          <cell r="A4" t="str">
            <v>Gnome</v>
          </cell>
        </row>
        <row r="7">
          <cell r="B7">
            <v>7</v>
          </cell>
          <cell r="C7">
            <v>-2</v>
          </cell>
          <cell r="D7">
            <v>9</v>
          </cell>
        </row>
        <row r="8">
          <cell r="B8">
            <v>14</v>
          </cell>
          <cell r="C8">
            <v>2</v>
          </cell>
          <cell r="D8">
            <v>14</v>
          </cell>
          <cell r="I8">
            <v>0</v>
          </cell>
          <cell r="J8">
            <v>0</v>
          </cell>
          <cell r="T8">
            <v>1</v>
          </cell>
          <cell r="U8">
            <v>0</v>
          </cell>
        </row>
        <row r="9">
          <cell r="B9">
            <v>14</v>
          </cell>
          <cell r="C9">
            <v>2</v>
          </cell>
          <cell r="D9">
            <v>12</v>
          </cell>
        </row>
        <row r="10">
          <cell r="B10">
            <v>12</v>
          </cell>
          <cell r="C10">
            <v>1</v>
          </cell>
          <cell r="D10">
            <v>12</v>
          </cell>
          <cell r="G10">
            <v>0</v>
          </cell>
        </row>
        <row r="11">
          <cell r="B11">
            <v>10</v>
          </cell>
          <cell r="C11">
            <v>0</v>
          </cell>
          <cell r="D11">
            <v>10</v>
          </cell>
        </row>
        <row r="12">
          <cell r="B12">
            <v>20</v>
          </cell>
          <cell r="C12">
            <v>5</v>
          </cell>
          <cell r="D12">
            <v>18</v>
          </cell>
        </row>
        <row r="15">
          <cell r="C15">
            <v>3</v>
          </cell>
          <cell r="D15">
            <v>0</v>
          </cell>
          <cell r="E15">
            <v>2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22">
          <cell r="B22">
            <v>-1</v>
          </cell>
          <cell r="C22" t="str">
            <v>-</v>
          </cell>
          <cell r="D22" t="str">
            <v>-</v>
          </cell>
          <cell r="E22" t="str">
            <v>-</v>
          </cell>
          <cell r="F22">
            <v>2</v>
          </cell>
          <cell r="G22" t="str">
            <v>-</v>
          </cell>
          <cell r="H22" t="str">
            <v>-</v>
          </cell>
          <cell r="I22" t="str">
            <v>-</v>
          </cell>
        </row>
        <row r="44">
          <cell r="R44">
            <v>-1</v>
          </cell>
        </row>
        <row r="45">
          <cell r="J45" t="str">
            <v>Medium</v>
          </cell>
        </row>
        <row r="65"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D66">
            <v>0</v>
          </cell>
        </row>
        <row r="67">
          <cell r="D67">
            <v>0</v>
          </cell>
        </row>
      </sheetData>
      <sheetData sheetId="1" refreshError="1">
        <row r="12">
          <cell r="I12" t="str">
            <v>Cha</v>
          </cell>
        </row>
      </sheetData>
      <sheetData sheetId="2" refreshError="1">
        <row r="2">
          <cell r="F2">
            <v>15</v>
          </cell>
          <cell r="K2">
            <v>1.5</v>
          </cell>
          <cell r="P2">
            <v>2.25</v>
          </cell>
          <cell r="U2">
            <v>0</v>
          </cell>
        </row>
        <row r="8">
          <cell r="A8">
            <v>70</v>
          </cell>
        </row>
        <row r="12">
          <cell r="A12" t="str">
            <v>No</v>
          </cell>
        </row>
        <row r="14">
          <cell r="A14" t="str">
            <v>No</v>
          </cell>
        </row>
      </sheetData>
      <sheetData sheetId="3" refreshError="1">
        <row r="2">
          <cell r="BD2">
            <v>0</v>
          </cell>
          <cell r="BO2">
            <v>-2</v>
          </cell>
        </row>
        <row r="3">
          <cell r="K3">
            <v>0.75</v>
          </cell>
          <cell r="BD3">
            <v>0</v>
          </cell>
          <cell r="BO3">
            <v>0</v>
          </cell>
        </row>
        <row r="4">
          <cell r="K4">
            <v>8</v>
          </cell>
          <cell r="BD4">
            <v>0</v>
          </cell>
          <cell r="BO4">
            <v>2</v>
          </cell>
        </row>
        <row r="5">
          <cell r="K5">
            <v>5</v>
          </cell>
          <cell r="BD5">
            <v>0</v>
          </cell>
          <cell r="BO5">
            <v>0</v>
          </cell>
        </row>
        <row r="6">
          <cell r="K6">
            <v>2</v>
          </cell>
          <cell r="BD6" t="str">
            <v>X</v>
          </cell>
          <cell r="BO6">
            <v>0</v>
          </cell>
        </row>
        <row r="7">
          <cell r="K7">
            <v>0</v>
          </cell>
          <cell r="BD7">
            <v>0</v>
          </cell>
          <cell r="BO7">
            <v>2</v>
          </cell>
        </row>
        <row r="8">
          <cell r="K8">
            <v>0</v>
          </cell>
          <cell r="BD8">
            <v>0</v>
          </cell>
        </row>
        <row r="9">
          <cell r="K9">
            <v>2</v>
          </cell>
          <cell r="BD9">
            <v>0</v>
          </cell>
        </row>
        <row r="10">
          <cell r="BD10">
            <v>0</v>
          </cell>
        </row>
        <row r="11">
          <cell r="BD11" t="str">
            <v>X</v>
          </cell>
        </row>
        <row r="12">
          <cell r="K12" t="e">
            <v>#N/A</v>
          </cell>
          <cell r="N12">
            <v>1</v>
          </cell>
          <cell r="BD12" t="str">
            <v>X</v>
          </cell>
        </row>
        <row r="13">
          <cell r="BD13">
            <v>0</v>
          </cell>
        </row>
        <row r="14">
          <cell r="K14" t="e">
            <v>#N/A</v>
          </cell>
          <cell r="BD14">
            <v>0</v>
          </cell>
        </row>
        <row r="15">
          <cell r="K15" t="e">
            <v>#N/A</v>
          </cell>
          <cell r="BD15" t="str">
            <v>X</v>
          </cell>
        </row>
        <row r="16">
          <cell r="K16" t="e">
            <v>#N/A</v>
          </cell>
          <cell r="BD16" t="str">
            <v>X</v>
          </cell>
        </row>
        <row r="17">
          <cell r="K17" t="e">
            <v>#N/A</v>
          </cell>
          <cell r="BD17" t="str">
            <v>X</v>
          </cell>
        </row>
        <row r="18">
          <cell r="K18" t="e">
            <v>#N/A</v>
          </cell>
          <cell r="BD18" t="str">
            <v>X</v>
          </cell>
        </row>
        <row r="19">
          <cell r="BD19" t="str">
            <v>X</v>
          </cell>
        </row>
        <row r="20">
          <cell r="BD20" t="str">
            <v>X</v>
          </cell>
        </row>
        <row r="21">
          <cell r="K21" t="e">
            <v>#N/A</v>
          </cell>
          <cell r="BD21" t="str">
            <v>X</v>
          </cell>
        </row>
        <row r="22">
          <cell r="BD22" t="str">
            <v>X</v>
          </cell>
        </row>
        <row r="23">
          <cell r="K23" t="e">
            <v>#N/A</v>
          </cell>
          <cell r="BD23" t="str">
            <v>X</v>
          </cell>
        </row>
        <row r="24">
          <cell r="K24" t="e">
            <v>#N/A</v>
          </cell>
          <cell r="N24">
            <v>25</v>
          </cell>
          <cell r="BD24" t="str">
            <v>X</v>
          </cell>
        </row>
        <row r="25">
          <cell r="K25" t="e">
            <v>#N/A</v>
          </cell>
          <cell r="BD25" t="str">
            <v>X</v>
          </cell>
        </row>
        <row r="26">
          <cell r="K26" t="e">
            <v>#N/A</v>
          </cell>
          <cell r="BD26">
            <v>0</v>
          </cell>
        </row>
        <row r="27">
          <cell r="K27" t="e">
            <v>#N/A</v>
          </cell>
          <cell r="BD27">
            <v>0</v>
          </cell>
        </row>
        <row r="28">
          <cell r="BD28" t="str">
            <v>X</v>
          </cell>
        </row>
        <row r="29">
          <cell r="K29">
            <v>5</v>
          </cell>
          <cell r="BD29" t="str">
            <v>X</v>
          </cell>
        </row>
        <row r="30">
          <cell r="K30">
            <v>10</v>
          </cell>
          <cell r="BD30">
            <v>0</v>
          </cell>
        </row>
        <row r="31">
          <cell r="K31">
            <v>3</v>
          </cell>
          <cell r="BD31">
            <v>0</v>
          </cell>
        </row>
        <row r="32">
          <cell r="K32" t="str">
            <v>/2000</v>
          </cell>
          <cell r="BD32" t="str">
            <v>X</v>
          </cell>
        </row>
        <row r="33">
          <cell r="K33">
            <v>0</v>
          </cell>
          <cell r="BD33">
            <v>0</v>
          </cell>
        </row>
        <row r="34">
          <cell r="BD34">
            <v>0</v>
          </cell>
        </row>
        <row r="35">
          <cell r="K35" t="str">
            <v>+2</v>
          </cell>
          <cell r="BD35">
            <v>0</v>
          </cell>
        </row>
        <row r="36">
          <cell r="K36" t="str">
            <v>-</v>
          </cell>
          <cell r="BD36" t="str">
            <v>X</v>
          </cell>
        </row>
        <row r="37">
          <cell r="K37" t="str">
            <v>-</v>
          </cell>
        </row>
        <row r="38">
          <cell r="K38" t="str">
            <v>-</v>
          </cell>
        </row>
        <row r="39">
          <cell r="K39" t="str">
            <v>-</v>
          </cell>
        </row>
        <row r="41">
          <cell r="K41">
            <v>0</v>
          </cell>
        </row>
        <row r="44">
          <cell r="N44" t="str">
            <v>Fast</v>
          </cell>
        </row>
        <row r="45">
          <cell r="N45" t="str">
            <v>Medium</v>
          </cell>
        </row>
        <row r="46">
          <cell r="N46" t="str">
            <v>Slow</v>
          </cell>
        </row>
        <row r="67">
          <cell r="O67">
            <v>23</v>
          </cell>
        </row>
        <row r="68">
          <cell r="O68">
            <v>46</v>
          </cell>
        </row>
        <row r="69">
          <cell r="O69">
            <v>70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B23" zoomScale="125" zoomScaleNormal="125" zoomScalePageLayoutView="125" workbookViewId="0">
      <selection activeCell="O16" sqref="O16"/>
    </sheetView>
  </sheetViews>
  <sheetFormatPr baseColWidth="10" defaultColWidth="8.83203125" defaultRowHeight="14" x14ac:dyDescent="0"/>
  <cols>
    <col min="1" max="3" width="7.1640625" customWidth="1"/>
    <col min="4" max="5" width="8" bestFit="1" customWidth="1"/>
    <col min="6" max="6" width="8.5" customWidth="1"/>
    <col min="7" max="7" width="9" customWidth="1"/>
    <col min="8" max="8" width="8.6640625" bestFit="1" customWidth="1"/>
    <col min="9" max="9" width="11.1640625" customWidth="1"/>
    <col min="10" max="10" width="5" style="6" customWidth="1"/>
    <col min="11" max="11" width="4.6640625" customWidth="1"/>
    <col min="12" max="12" width="1.83203125" style="3" customWidth="1"/>
    <col min="13" max="13" width="18.33203125" style="3" bestFit="1" customWidth="1"/>
    <col min="14" max="14" width="7.6640625" style="3" bestFit="1" customWidth="1"/>
    <col min="15" max="15" width="5.83203125" style="3" customWidth="1"/>
    <col min="16" max="16" width="4.83203125" style="3" customWidth="1"/>
    <col min="17" max="17" width="5.1640625" style="3" customWidth="1"/>
    <col min="18" max="18" width="5.33203125" style="3" customWidth="1"/>
    <col min="19" max="19" width="5" bestFit="1" customWidth="1"/>
    <col min="20" max="20" width="8.33203125" customWidth="1"/>
    <col min="21" max="21" width="8.5" customWidth="1"/>
    <col min="22" max="22" width="8.1640625" customWidth="1"/>
    <col min="23" max="23" width="7.83203125" customWidth="1"/>
  </cols>
  <sheetData>
    <row r="1" spans="1:23" ht="15">
      <c r="A1" s="216" t="s">
        <v>124</v>
      </c>
      <c r="B1" s="184"/>
      <c r="C1" s="83" t="s">
        <v>185</v>
      </c>
      <c r="D1" s="183" t="s">
        <v>45</v>
      </c>
      <c r="E1" s="184"/>
      <c r="F1" s="183" t="s">
        <v>178</v>
      </c>
      <c r="G1" s="184"/>
      <c r="H1" s="9" t="s">
        <v>183</v>
      </c>
      <c r="I1" s="9" t="s">
        <v>186</v>
      </c>
      <c r="J1" s="183" t="s">
        <v>49</v>
      </c>
      <c r="K1" s="218"/>
      <c r="L1" s="202" t="s">
        <v>222</v>
      </c>
      <c r="M1" s="203"/>
      <c r="N1" s="203"/>
      <c r="O1" s="203"/>
      <c r="P1" s="203"/>
      <c r="Q1" s="203"/>
      <c r="R1" s="203"/>
      <c r="S1" s="204"/>
      <c r="T1" s="202" t="s">
        <v>223</v>
      </c>
      <c r="U1" s="203"/>
      <c r="V1" s="203"/>
      <c r="W1" s="204"/>
    </row>
    <row r="2" spans="1:23">
      <c r="A2" s="225"/>
      <c r="B2" s="226"/>
      <c r="C2" s="145"/>
      <c r="D2" s="185"/>
      <c r="E2" s="186"/>
      <c r="F2" s="185" t="s">
        <v>4</v>
      </c>
      <c r="G2" s="186"/>
      <c r="H2" s="47">
        <v>1</v>
      </c>
      <c r="I2" s="44">
        <f>SUM(level+cl2level+cl3level)</f>
        <v>1</v>
      </c>
      <c r="J2" s="227" t="s">
        <v>35</v>
      </c>
      <c r="K2" s="228"/>
      <c r="L2" s="55"/>
      <c r="M2" s="159" t="s">
        <v>499</v>
      </c>
      <c r="N2" s="74" t="s">
        <v>110</v>
      </c>
      <c r="O2" s="74" t="s">
        <v>168</v>
      </c>
      <c r="P2" s="74" t="s">
        <v>169</v>
      </c>
      <c r="Q2" s="74" t="s">
        <v>40</v>
      </c>
      <c r="R2" s="74" t="s">
        <v>70</v>
      </c>
      <c r="S2" s="76" t="s">
        <v>170</v>
      </c>
      <c r="T2" s="262" t="s">
        <v>181</v>
      </c>
      <c r="U2" s="263"/>
      <c r="V2" s="264" t="s">
        <v>182</v>
      </c>
      <c r="W2" s="265"/>
    </row>
    <row r="3" spans="1:23" ht="15">
      <c r="A3" s="245" t="s">
        <v>48</v>
      </c>
      <c r="B3" s="246"/>
      <c r="C3" s="247" t="s">
        <v>47</v>
      </c>
      <c r="D3" s="246"/>
      <c r="E3" s="10" t="s">
        <v>50</v>
      </c>
      <c r="F3" s="10" t="s">
        <v>51</v>
      </c>
      <c r="G3" s="10" t="s">
        <v>52</v>
      </c>
      <c r="H3" s="10" t="s">
        <v>53</v>
      </c>
      <c r="I3" s="10" t="s">
        <v>55</v>
      </c>
      <c r="J3" s="247" t="s">
        <v>54</v>
      </c>
      <c r="K3" s="251"/>
      <c r="L3" s="81" t="str">
        <f>hasAcrobatics</f>
        <v/>
      </c>
      <c r="M3" s="57" t="s">
        <v>134</v>
      </c>
      <c r="N3" s="13">
        <f t="shared" ref="N3:N10" si="0">SUM(O3:S3)+TempSkillBonus</f>
        <v>2</v>
      </c>
      <c r="O3" s="22">
        <v>0</v>
      </c>
      <c r="P3" s="59">
        <f>dbon</f>
        <v>2</v>
      </c>
      <c r="Q3" s="61" t="str">
        <f t="shared" ref="Q3:Q23" si="1">IF(AND(O3&gt;0, L3="X"), 3, "")</f>
        <v/>
      </c>
      <c r="R3" s="59"/>
      <c r="S3" s="60">
        <f>armorpen</f>
        <v>0</v>
      </c>
      <c r="T3" s="269"/>
      <c r="U3" s="259"/>
      <c r="V3" s="270"/>
      <c r="W3" s="212"/>
    </row>
    <row r="4" spans="1:23" ht="15" thickBot="1">
      <c r="A4" s="248" t="s">
        <v>444</v>
      </c>
      <c r="B4" s="249"/>
      <c r="C4" s="250"/>
      <c r="D4" s="249"/>
      <c r="E4" s="146"/>
      <c r="F4" s="146"/>
      <c r="G4" s="146"/>
      <c r="H4" s="146"/>
      <c r="I4" s="147"/>
      <c r="J4" s="229"/>
      <c r="K4" s="230"/>
      <c r="L4" s="43" t="str">
        <f>hasAppraise</f>
        <v/>
      </c>
      <c r="M4" s="57" t="s">
        <v>498</v>
      </c>
      <c r="N4" s="13">
        <f t="shared" si="0"/>
        <v>1</v>
      </c>
      <c r="O4" s="18">
        <v>0</v>
      </c>
      <c r="P4" s="61">
        <f>ibon</f>
        <v>1</v>
      </c>
      <c r="Q4" s="61" t="str">
        <f t="shared" si="1"/>
        <v/>
      </c>
      <c r="R4" s="61"/>
      <c r="S4" s="62"/>
      <c r="T4" s="266" t="s">
        <v>183</v>
      </c>
      <c r="U4" s="267"/>
      <c r="V4" s="258" t="s">
        <v>183</v>
      </c>
      <c r="W4" s="268"/>
    </row>
    <row r="5" spans="1:23" ht="16" thickBot="1">
      <c r="A5" s="202" t="s">
        <v>105</v>
      </c>
      <c r="B5" s="203"/>
      <c r="C5" s="203"/>
      <c r="D5" s="203"/>
      <c r="E5" s="203"/>
      <c r="F5" s="203"/>
      <c r="G5" s="203"/>
      <c r="H5" s="204"/>
      <c r="I5" s="213" t="s">
        <v>111</v>
      </c>
      <c r="J5" s="214"/>
      <c r="K5" s="215"/>
      <c r="L5" s="43" t="str">
        <f>hasBluff</f>
        <v/>
      </c>
      <c r="M5" s="57" t="s">
        <v>136</v>
      </c>
      <c r="N5" s="13">
        <f t="shared" si="0"/>
        <v>1</v>
      </c>
      <c r="O5" s="18">
        <v>0</v>
      </c>
      <c r="P5" s="61">
        <f>chbon</f>
        <v>1</v>
      </c>
      <c r="Q5" s="61" t="str">
        <f t="shared" si="1"/>
        <v/>
      </c>
      <c r="R5" s="61"/>
      <c r="S5" s="62"/>
      <c r="T5" s="271"/>
      <c r="U5" s="272"/>
      <c r="V5" s="273"/>
      <c r="W5" s="274"/>
    </row>
    <row r="6" spans="1:23" ht="13.5" customHeight="1">
      <c r="A6" s="11"/>
      <c r="B6" s="12" t="s">
        <v>57</v>
      </c>
      <c r="C6" s="12" t="s">
        <v>58</v>
      </c>
      <c r="D6" s="20" t="s">
        <v>59</v>
      </c>
      <c r="E6" s="20" t="s">
        <v>48</v>
      </c>
      <c r="F6" s="20" t="s">
        <v>46</v>
      </c>
      <c r="G6" s="20" t="s">
        <v>60</v>
      </c>
      <c r="H6" s="15"/>
      <c r="I6" s="23" t="str">
        <f>hpmax-damage+tempHP&amp;" /"</f>
        <v>11 /</v>
      </c>
      <c r="J6" s="252">
        <f>HP</f>
        <v>11</v>
      </c>
      <c r="K6" s="253"/>
      <c r="L6" s="43" t="str">
        <f>hasClimb</f>
        <v>X</v>
      </c>
      <c r="M6" s="57" t="s">
        <v>137</v>
      </c>
      <c r="N6" s="13">
        <f t="shared" si="0"/>
        <v>0</v>
      </c>
      <c r="O6" s="18">
        <v>0</v>
      </c>
      <c r="P6" s="61">
        <f>sbon</f>
        <v>0</v>
      </c>
      <c r="Q6" s="61" t="str">
        <f t="shared" si="1"/>
        <v/>
      </c>
      <c r="R6" s="61"/>
      <c r="S6" s="62">
        <f>armorpen</f>
        <v>0</v>
      </c>
      <c r="T6" s="202" t="s">
        <v>224</v>
      </c>
      <c r="U6" s="203"/>
      <c r="V6" s="203"/>
      <c r="W6" s="204"/>
    </row>
    <row r="7" spans="1:23">
      <c r="A7" s="35" t="s">
        <v>61</v>
      </c>
      <c r="B7" s="82">
        <f t="shared" ref="B7:B12" si="2">SUM(D7:G7)</f>
        <v>10</v>
      </c>
      <c r="C7" s="27">
        <f>IF(sScore&gt;10,(ROUNDDOWN(((sScore-10)/2),0)),(ROUNDDOWN(((sScore-11)/2),0)))</f>
        <v>0</v>
      </c>
      <c r="D7" s="22">
        <v>10</v>
      </c>
      <c r="E7" s="22">
        <f>RaceSTR</f>
        <v>0</v>
      </c>
      <c r="F7" s="22">
        <v>0</v>
      </c>
      <c r="G7" s="22">
        <v>0</v>
      </c>
      <c r="H7" s="85" t="s">
        <v>203</v>
      </c>
      <c r="I7" s="21" t="s">
        <v>67</v>
      </c>
      <c r="J7" s="196" t="s">
        <v>360</v>
      </c>
      <c r="K7" s="197"/>
      <c r="L7" s="43" t="str">
        <f>hasCraft</f>
        <v>X</v>
      </c>
      <c r="M7" s="57" t="s">
        <v>500</v>
      </c>
      <c r="N7" s="13">
        <f t="shared" si="0"/>
        <v>1</v>
      </c>
      <c r="O7" s="18">
        <v>0</v>
      </c>
      <c r="P7" s="61">
        <f>ibon</f>
        <v>1</v>
      </c>
      <c r="Q7" s="61" t="str">
        <f t="shared" si="1"/>
        <v/>
      </c>
      <c r="R7" s="61"/>
      <c r="S7" s="62"/>
      <c r="T7" s="69" t="s">
        <v>174</v>
      </c>
      <c r="U7" s="70" t="s">
        <v>175</v>
      </c>
      <c r="V7" s="70" t="s">
        <v>120</v>
      </c>
      <c r="W7" s="158" t="s">
        <v>493</v>
      </c>
    </row>
    <row r="8" spans="1:23" ht="15" thickBot="1">
      <c r="A8" s="94" t="s">
        <v>62</v>
      </c>
      <c r="B8" s="44">
        <f t="shared" si="2"/>
        <v>14</v>
      </c>
      <c r="C8" s="28">
        <f>IF(dScore&gt;10,(ROUNDDOWN(((dScore-10)/2),0)),(ROUNDDOWN(((dScore-11)/2),0)))</f>
        <v>2</v>
      </c>
      <c r="D8" s="18">
        <v>13</v>
      </c>
      <c r="E8" s="18">
        <f>RaceDEX</f>
        <v>0</v>
      </c>
      <c r="F8" s="18">
        <v>1</v>
      </c>
      <c r="G8" s="18">
        <v>0</v>
      </c>
      <c r="H8" s="80">
        <v>20</v>
      </c>
      <c r="I8" s="24">
        <v>0</v>
      </c>
      <c r="J8" s="198">
        <v>0</v>
      </c>
      <c r="K8" s="199"/>
      <c r="L8" s="43" t="str">
        <f>hasCraft</f>
        <v>X</v>
      </c>
      <c r="M8" s="57" t="s">
        <v>500</v>
      </c>
      <c r="N8" s="13">
        <f t="shared" si="0"/>
        <v>1</v>
      </c>
      <c r="O8" s="18">
        <v>0</v>
      </c>
      <c r="P8" s="61">
        <f>ibon</f>
        <v>1</v>
      </c>
      <c r="Q8" s="61" t="str">
        <f t="shared" si="1"/>
        <v/>
      </c>
      <c r="R8" s="61"/>
      <c r="S8" s="62"/>
      <c r="T8" s="71">
        <v>0</v>
      </c>
      <c r="U8" s="72">
        <v>0</v>
      </c>
      <c r="V8" s="156"/>
      <c r="W8" s="78" t="s">
        <v>274</v>
      </c>
    </row>
    <row r="9" spans="1:23" ht="15">
      <c r="A9" s="94" t="s">
        <v>63</v>
      </c>
      <c r="B9" s="44">
        <f t="shared" si="2"/>
        <v>12</v>
      </c>
      <c r="C9" s="28">
        <f>IF(cScore&gt;10,(ROUNDDOWN(((cScore-10)/2),0)),(ROUNDDOWN(((cScore-11)/2),0)))</f>
        <v>1</v>
      </c>
      <c r="D9" s="18">
        <v>12</v>
      </c>
      <c r="E9" s="18">
        <f>raceCON</f>
        <v>0</v>
      </c>
      <c r="F9" s="18">
        <v>0</v>
      </c>
      <c r="G9" s="18">
        <v>0</v>
      </c>
      <c r="H9" s="15"/>
      <c r="I9" s="216" t="s">
        <v>221</v>
      </c>
      <c r="J9" s="217"/>
      <c r="K9" s="218"/>
      <c r="L9" s="43" t="str">
        <f>hasCraft</f>
        <v>X</v>
      </c>
      <c r="M9" s="57" t="s">
        <v>500</v>
      </c>
      <c r="N9" s="13">
        <f t="shared" si="0"/>
        <v>1</v>
      </c>
      <c r="O9" s="18">
        <v>0</v>
      </c>
      <c r="P9" s="61">
        <f>ibon</f>
        <v>1</v>
      </c>
      <c r="Q9" s="61" t="str">
        <f t="shared" si="1"/>
        <v/>
      </c>
      <c r="R9" s="61"/>
      <c r="S9" s="62"/>
      <c r="T9" s="202" t="s">
        <v>225</v>
      </c>
      <c r="U9" s="203"/>
      <c r="V9" s="203"/>
      <c r="W9" s="204"/>
    </row>
    <row r="10" spans="1:23">
      <c r="A10" s="94" t="s">
        <v>64</v>
      </c>
      <c r="B10" s="44">
        <f t="shared" si="2"/>
        <v>13</v>
      </c>
      <c r="C10" s="28">
        <f>IF(iScore&gt;10,(ROUNDDOWN(((iScore-10)/2),0)),(ROUNDDOWN(((iScore-11)/2),0)))</f>
        <v>1</v>
      </c>
      <c r="D10" s="18">
        <v>13</v>
      </c>
      <c r="E10" s="18">
        <f>raceINT</f>
        <v>0</v>
      </c>
      <c r="F10" s="18">
        <v>0</v>
      </c>
      <c r="G10" s="18">
        <v>0</v>
      </c>
      <c r="H10" s="106" t="s">
        <v>125</v>
      </c>
      <c r="I10" s="219">
        <f>SUM(I12:J12)+TempInitBonus</f>
        <v>2</v>
      </c>
      <c r="J10" s="220"/>
      <c r="K10" s="221"/>
      <c r="L10" s="43" t="str">
        <f>hasDiplomacy</f>
        <v/>
      </c>
      <c r="M10" s="57" t="s">
        <v>139</v>
      </c>
      <c r="N10" s="13">
        <f t="shared" si="0"/>
        <v>1</v>
      </c>
      <c r="O10" s="18">
        <v>0</v>
      </c>
      <c r="P10" s="61">
        <f>chbon</f>
        <v>1</v>
      </c>
      <c r="Q10" s="61" t="str">
        <f t="shared" si="1"/>
        <v/>
      </c>
      <c r="R10" s="61"/>
      <c r="S10" s="62"/>
      <c r="T10" s="289" t="s">
        <v>59</v>
      </c>
      <c r="U10" s="260"/>
      <c r="V10" s="260" t="s">
        <v>176</v>
      </c>
      <c r="W10" s="261"/>
    </row>
    <row r="11" spans="1:23">
      <c r="A11" s="94" t="s">
        <v>65</v>
      </c>
      <c r="B11" s="44">
        <f t="shared" si="2"/>
        <v>18</v>
      </c>
      <c r="C11" s="28">
        <f>IF(wScore&gt;10,(ROUNDDOWN(((wScore-10)/2),0)),(ROUNDDOWN(((wScore-11)/2),0)))</f>
        <v>4</v>
      </c>
      <c r="D11" s="18">
        <v>16</v>
      </c>
      <c r="E11" s="18">
        <f>raceWIS</f>
        <v>2</v>
      </c>
      <c r="F11" s="18">
        <v>0</v>
      </c>
      <c r="G11" s="18">
        <v>0</v>
      </c>
      <c r="H11" s="80">
        <f>H8-pbsum</f>
        <v>0</v>
      </c>
      <c r="I11" s="21" t="s">
        <v>69</v>
      </c>
      <c r="J11" s="196" t="s">
        <v>70</v>
      </c>
      <c r="K11" s="197"/>
      <c r="L11" s="43" t="str">
        <f>hasDisableDevice</f>
        <v/>
      </c>
      <c r="M11" s="57" t="s">
        <v>140</v>
      </c>
      <c r="N11" s="13" t="str">
        <f>IF(O11&gt;0,SUM(O11:S11)+TempSkillBonus,"-")</f>
        <v>-</v>
      </c>
      <c r="O11" s="18">
        <v>0</v>
      </c>
      <c r="P11" s="61">
        <f>dbon</f>
        <v>2</v>
      </c>
      <c r="Q11" s="61" t="str">
        <f t="shared" si="1"/>
        <v/>
      </c>
      <c r="R11" s="61"/>
      <c r="S11" s="62">
        <f>armorpen</f>
        <v>0</v>
      </c>
      <c r="T11" s="285"/>
      <c r="U11" s="286"/>
      <c r="V11" s="287"/>
      <c r="W11" s="288"/>
    </row>
    <row r="12" spans="1:23" ht="15" thickBot="1">
      <c r="A12" s="16" t="s">
        <v>66</v>
      </c>
      <c r="B12" s="45">
        <f t="shared" si="2"/>
        <v>12</v>
      </c>
      <c r="C12" s="29">
        <f>IF(chScore&gt;10,(ROUNDDOWN(((chScore-10)/2),0)),(ROUNDDOWN(((chScore-11)/2),0)))</f>
        <v>1</v>
      </c>
      <c r="D12" s="19">
        <v>12</v>
      </c>
      <c r="E12" s="19">
        <f>raceCHA</f>
        <v>0</v>
      </c>
      <c r="F12" s="19">
        <v>0</v>
      </c>
      <c r="G12" s="19">
        <v>0</v>
      </c>
      <c r="H12" s="8"/>
      <c r="I12" s="96">
        <f>dbon</f>
        <v>2</v>
      </c>
      <c r="J12" s="200">
        <v>0</v>
      </c>
      <c r="K12" s="201"/>
      <c r="L12" s="43" t="str">
        <f>hasDisguise</f>
        <v/>
      </c>
      <c r="M12" s="57" t="s">
        <v>141</v>
      </c>
      <c r="N12" s="13">
        <f>SUM(O12:S12)+TempSkillBonus</f>
        <v>1</v>
      </c>
      <c r="O12" s="18">
        <v>0</v>
      </c>
      <c r="P12" s="61">
        <f>chbon</f>
        <v>1</v>
      </c>
      <c r="Q12" s="61" t="str">
        <f t="shared" si="1"/>
        <v/>
      </c>
      <c r="R12" s="61"/>
      <c r="S12" s="62"/>
      <c r="T12" s="75" t="s">
        <v>143</v>
      </c>
      <c r="U12" s="74" t="s">
        <v>137</v>
      </c>
      <c r="V12" s="74" t="s">
        <v>166</v>
      </c>
      <c r="W12" s="76" t="s">
        <v>177</v>
      </c>
    </row>
    <row r="13" spans="1:23" ht="16" thickBot="1">
      <c r="A13" s="202" t="s">
        <v>107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4"/>
      <c r="L13" s="43" t="str">
        <f>hasEscapeArtist</f>
        <v/>
      </c>
      <c r="M13" s="57" t="s">
        <v>142</v>
      </c>
      <c r="N13" s="13">
        <f>SUM(O13:S13)+TempSkillBonus</f>
        <v>2</v>
      </c>
      <c r="O13" s="18">
        <v>0</v>
      </c>
      <c r="P13" s="61">
        <f>dbon</f>
        <v>2</v>
      </c>
      <c r="Q13" s="61" t="str">
        <f t="shared" si="1"/>
        <v/>
      </c>
      <c r="R13" s="61"/>
      <c r="S13" s="62">
        <f>armorpen</f>
        <v>0</v>
      </c>
      <c r="T13" s="71"/>
      <c r="U13" s="72"/>
      <c r="V13" s="72"/>
      <c r="W13" s="78"/>
    </row>
    <row r="14" spans="1:23" ht="15">
      <c r="A14" s="239" t="s">
        <v>71</v>
      </c>
      <c r="B14" s="240"/>
      <c r="C14" s="12" t="s">
        <v>72</v>
      </c>
      <c r="D14" s="12" t="s">
        <v>73</v>
      </c>
      <c r="E14" s="12" t="s">
        <v>69</v>
      </c>
      <c r="F14" s="12" t="s">
        <v>49</v>
      </c>
      <c r="G14" s="12" t="s">
        <v>74</v>
      </c>
      <c r="H14" s="12" t="s">
        <v>75</v>
      </c>
      <c r="I14" s="12" t="s">
        <v>87</v>
      </c>
      <c r="J14" s="187" t="s">
        <v>76</v>
      </c>
      <c r="K14" s="188"/>
      <c r="L14" s="43" t="str">
        <f>hasFly</f>
        <v/>
      </c>
      <c r="M14" s="57" t="s">
        <v>143</v>
      </c>
      <c r="N14" s="13">
        <f>SUM(O14:S14)+TempSkillBonus</f>
        <v>2</v>
      </c>
      <c r="O14" s="18">
        <v>0</v>
      </c>
      <c r="P14" s="61">
        <f>dbon</f>
        <v>2</v>
      </c>
      <c r="Q14" s="61" t="str">
        <f t="shared" si="1"/>
        <v/>
      </c>
      <c r="R14" s="61"/>
      <c r="S14" s="62">
        <f>armorpen</f>
        <v>0</v>
      </c>
      <c r="T14" s="202" t="s">
        <v>226</v>
      </c>
      <c r="U14" s="203"/>
      <c r="V14" s="203"/>
      <c r="W14" s="204"/>
    </row>
    <row r="15" spans="1:23">
      <c r="A15" s="241">
        <f>10+SUM(C15:J15)+tempACBonus</f>
        <v>14</v>
      </c>
      <c r="B15" s="242"/>
      <c r="C15" s="79">
        <v>4</v>
      </c>
      <c r="D15" s="22">
        <v>0</v>
      </c>
      <c r="E15" s="22">
        <f>MIN(dbon,armorMaxDex)</f>
        <v>0</v>
      </c>
      <c r="F15" s="22">
        <f>sizemod</f>
        <v>0</v>
      </c>
      <c r="G15" s="22">
        <v>0</v>
      </c>
      <c r="H15" s="30">
        <v>0</v>
      </c>
      <c r="I15" s="30">
        <v>0</v>
      </c>
      <c r="J15" s="189">
        <v>0</v>
      </c>
      <c r="K15" s="190"/>
      <c r="L15" s="43" t="str">
        <f>hasHandleAnimal</f>
        <v>X</v>
      </c>
      <c r="M15" s="57" t="s">
        <v>501</v>
      </c>
      <c r="N15" s="13" t="str">
        <f>IF(O15&gt;0,SUM(O15:S15)+TempSkillBonus,"-")</f>
        <v>-</v>
      </c>
      <c r="O15" s="18">
        <v>0</v>
      </c>
      <c r="P15" s="61">
        <f>chbon</f>
        <v>1</v>
      </c>
      <c r="Q15" s="61" t="str">
        <f t="shared" si="1"/>
        <v/>
      </c>
      <c r="R15" s="61"/>
      <c r="S15" s="62"/>
      <c r="T15" s="275"/>
      <c r="U15" s="276"/>
      <c r="V15" s="276"/>
      <c r="W15" s="277"/>
    </row>
    <row r="16" spans="1:23">
      <c r="A16" s="48" t="s">
        <v>85</v>
      </c>
      <c r="B16" s="50" t="s">
        <v>86</v>
      </c>
      <c r="C16" s="206" t="s">
        <v>106</v>
      </c>
      <c r="D16" s="206"/>
      <c r="E16" s="49" t="s">
        <v>103</v>
      </c>
      <c r="F16" s="50" t="s">
        <v>104</v>
      </c>
      <c r="G16" s="31"/>
      <c r="H16" s="33" t="s">
        <v>110</v>
      </c>
      <c r="I16" s="33" t="s">
        <v>59</v>
      </c>
      <c r="J16" s="196" t="s">
        <v>109</v>
      </c>
      <c r="K16" s="197"/>
      <c r="L16" s="43" t="str">
        <f>hasHeal</f>
        <v/>
      </c>
      <c r="M16" s="57" t="s">
        <v>145</v>
      </c>
      <c r="N16" s="13">
        <f>SUM(O16:S16)+TempSkillBonus</f>
        <v>4</v>
      </c>
      <c r="O16" s="18">
        <v>0</v>
      </c>
      <c r="P16" s="61">
        <f>wbon</f>
        <v>4</v>
      </c>
      <c r="Q16" s="61" t="str">
        <f t="shared" si="1"/>
        <v/>
      </c>
      <c r="R16" s="61"/>
      <c r="S16" s="62"/>
      <c r="T16" s="171"/>
      <c r="U16" s="172"/>
      <c r="V16" s="172"/>
      <c r="W16" s="173"/>
    </row>
    <row r="17" spans="1:23" ht="15" thickBot="1">
      <c r="A17" s="136">
        <f>10+armor+shield+sizeac+natarmor+def+otherac+TempFlatfootACBonus</f>
        <v>14</v>
      </c>
      <c r="B17" s="36">
        <f>10+dexac+sizeac+def+dodge+otherac+TempTouchACBonus</f>
        <v>10</v>
      </c>
      <c r="C17" s="243">
        <f>10+totBAB+dbon+sbon-sizemod</f>
        <v>13</v>
      </c>
      <c r="D17" s="244"/>
      <c r="E17" s="36">
        <v>0</v>
      </c>
      <c r="F17" s="36">
        <v>0</v>
      </c>
      <c r="G17" s="34" t="s">
        <v>88</v>
      </c>
      <c r="H17" s="13">
        <f>SUM(I17:J17)+cbon+TempSaveBonus</f>
        <v>3</v>
      </c>
      <c r="I17" s="59">
        <f>fort+IF(ISBLANK(class2),0,cl2fort)+IF(ISBLANK(class3),0,cl3fort)</f>
        <v>2</v>
      </c>
      <c r="J17" s="280">
        <v>0</v>
      </c>
      <c r="K17" s="281"/>
      <c r="L17" s="43" t="str">
        <f>hasIntimidate</f>
        <v>X</v>
      </c>
      <c r="M17" s="57" t="s">
        <v>146</v>
      </c>
      <c r="N17" s="13">
        <f>SUM(O17:S17)+TempSkillBonus</f>
        <v>1</v>
      </c>
      <c r="O17" s="18">
        <v>0</v>
      </c>
      <c r="P17" s="61">
        <f>chbon</f>
        <v>1</v>
      </c>
      <c r="Q17" s="61" t="str">
        <f t="shared" si="1"/>
        <v/>
      </c>
      <c r="R17" s="61"/>
      <c r="S17" s="62"/>
      <c r="T17" s="171"/>
      <c r="U17" s="172"/>
      <c r="V17" s="172"/>
      <c r="W17" s="173"/>
    </row>
    <row r="18" spans="1:23" ht="15">
      <c r="A18" s="205" t="s">
        <v>112</v>
      </c>
      <c r="B18" s="206"/>
      <c r="C18" s="206"/>
      <c r="D18" s="206"/>
      <c r="E18" s="206"/>
      <c r="F18" s="235"/>
      <c r="G18" s="32" t="s">
        <v>90</v>
      </c>
      <c r="H18" s="13">
        <f>SUM(I18:J18)+dbon+TempSaveBonus</f>
        <v>2</v>
      </c>
      <c r="I18" s="61">
        <f>reflex+IF(ISBLANK(class2),0,cl2ref)+IF(ISBLANK(class3),0,cl3ref)</f>
        <v>0</v>
      </c>
      <c r="J18" s="282">
        <v>0</v>
      </c>
      <c r="K18" s="283"/>
      <c r="L18" s="43" t="str">
        <f>hasArcana</f>
        <v/>
      </c>
      <c r="M18" s="57" t="s">
        <v>147</v>
      </c>
      <c r="N18" s="13" t="str">
        <f t="shared" ref="N18:N28" si="3">IF(O18&gt;0,SUM(O18:S18)+TempSkillBonus,"-")</f>
        <v>-</v>
      </c>
      <c r="O18" s="18">
        <v>0</v>
      </c>
      <c r="P18" s="61">
        <f t="shared" ref="P18:P28" si="4">ibon</f>
        <v>1</v>
      </c>
      <c r="Q18" s="61" t="str">
        <f t="shared" si="1"/>
        <v/>
      </c>
      <c r="R18" s="61"/>
      <c r="S18" s="62"/>
      <c r="T18" s="202" t="s">
        <v>227</v>
      </c>
      <c r="U18" s="203"/>
      <c r="V18" s="203"/>
      <c r="W18" s="204"/>
    </row>
    <row r="19" spans="1:23" ht="15" thickBot="1">
      <c r="A19" s="236"/>
      <c r="B19" s="237"/>
      <c r="C19" s="237"/>
      <c r="D19" s="237"/>
      <c r="E19" s="237"/>
      <c r="F19" s="238"/>
      <c r="G19" s="37" t="s">
        <v>89</v>
      </c>
      <c r="H19" s="14">
        <f>SUM(I19:J19)+wbon+TempSaveBonus</f>
        <v>4</v>
      </c>
      <c r="I19" s="139">
        <f>will+IF(ISBLANK(class2),0,cl2will)+IF(ISBLANK(class3),0,cl3will)</f>
        <v>0</v>
      </c>
      <c r="J19" s="222">
        <v>0</v>
      </c>
      <c r="K19" s="223"/>
      <c r="L19" s="43" t="str">
        <f>hasDungeoneering</f>
        <v>X</v>
      </c>
      <c r="M19" s="57" t="s">
        <v>148</v>
      </c>
      <c r="N19" s="13" t="str">
        <f t="shared" si="3"/>
        <v>-</v>
      </c>
      <c r="O19" s="18">
        <v>0</v>
      </c>
      <c r="P19" s="61">
        <f t="shared" si="4"/>
        <v>1</v>
      </c>
      <c r="Q19" s="61" t="str">
        <f t="shared" si="1"/>
        <v/>
      </c>
      <c r="R19" s="61"/>
      <c r="S19" s="62"/>
      <c r="T19" s="171"/>
      <c r="U19" s="172"/>
      <c r="V19" s="172"/>
      <c r="W19" s="173"/>
    </row>
    <row r="20" spans="1:23" ht="15">
      <c r="A20" s="202" t="s">
        <v>108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4"/>
      <c r="L20" s="43" t="str">
        <f>hasEngineering</f>
        <v>X</v>
      </c>
      <c r="M20" s="57" t="s">
        <v>502</v>
      </c>
      <c r="N20" s="13" t="str">
        <f t="shared" si="3"/>
        <v>-</v>
      </c>
      <c r="O20" s="18">
        <v>0</v>
      </c>
      <c r="P20" s="61">
        <f t="shared" si="4"/>
        <v>1</v>
      </c>
      <c r="Q20" s="61" t="str">
        <f t="shared" si="1"/>
        <v/>
      </c>
      <c r="R20" s="61"/>
      <c r="S20" s="62"/>
      <c r="T20" s="171"/>
      <c r="U20" s="172"/>
      <c r="V20" s="172"/>
      <c r="W20" s="173"/>
    </row>
    <row r="21" spans="1:23">
      <c r="A21" s="51" t="s">
        <v>43</v>
      </c>
      <c r="B21" s="258" t="s">
        <v>116</v>
      </c>
      <c r="C21" s="258"/>
      <c r="D21" s="258"/>
      <c r="E21" s="258"/>
      <c r="F21" s="258" t="s">
        <v>115</v>
      </c>
      <c r="G21" s="258"/>
      <c r="H21" s="258"/>
      <c r="I21" s="258"/>
      <c r="J21" s="260" t="s">
        <v>113</v>
      </c>
      <c r="K21" s="261"/>
      <c r="L21" s="43" t="str">
        <f>hasGeography</f>
        <v/>
      </c>
      <c r="M21" s="57" t="s">
        <v>503</v>
      </c>
      <c r="N21" s="13" t="str">
        <f t="shared" si="3"/>
        <v>-</v>
      </c>
      <c r="O21" s="18">
        <v>0</v>
      </c>
      <c r="P21" s="61">
        <f t="shared" si="4"/>
        <v>1</v>
      </c>
      <c r="Q21" s="61" t="str">
        <f t="shared" si="1"/>
        <v/>
      </c>
      <c r="R21" s="61"/>
      <c r="S21" s="62"/>
      <c r="T21" s="171"/>
      <c r="U21" s="172"/>
      <c r="V21" s="172"/>
      <c r="W21" s="173"/>
    </row>
    <row r="22" spans="1:23">
      <c r="A22" s="132">
        <f>totBAB</f>
        <v>1</v>
      </c>
      <c r="B22" s="38">
        <f>totBAB+sbon+sizemod+TempAttBonus</f>
        <v>1</v>
      </c>
      <c r="C22" s="39" t="str">
        <f>IF(totBAB&lt;6,"-",sattack-5)</f>
        <v>-</v>
      </c>
      <c r="D22" s="39" t="str">
        <f>IF(totBAB&lt;11,"-",sattack-10)</f>
        <v>-</v>
      </c>
      <c r="E22" s="39" t="str">
        <f>IF(totBAB&lt;16,"-",sattack-15)</f>
        <v>-</v>
      </c>
      <c r="F22" s="38">
        <f>totBAB+dbon+TempAttBonus</f>
        <v>3</v>
      </c>
      <c r="G22" s="39" t="str">
        <f>IF(totBAB&lt;6,"-",dattack-5)</f>
        <v>-</v>
      </c>
      <c r="H22" s="39" t="str">
        <f>IF(totBAB&lt;11,"-",dattack-10)</f>
        <v>-</v>
      </c>
      <c r="I22" s="40" t="str">
        <f>IF(totBAB&lt;16,"-",dattack-15)</f>
        <v>-</v>
      </c>
      <c r="J22" s="291">
        <f>totBAB+sbon-sizemod</f>
        <v>1</v>
      </c>
      <c r="K22" s="292"/>
      <c r="L22" s="43" t="str">
        <f>hasHistory</f>
        <v/>
      </c>
      <c r="M22" s="57" t="s">
        <v>504</v>
      </c>
      <c r="N22" s="13" t="str">
        <f t="shared" si="3"/>
        <v>-</v>
      </c>
      <c r="O22" s="18">
        <v>0</v>
      </c>
      <c r="P22" s="61">
        <f t="shared" si="4"/>
        <v>1</v>
      </c>
      <c r="Q22" s="61" t="str">
        <f t="shared" si="1"/>
        <v/>
      </c>
      <c r="R22" s="61"/>
      <c r="S22" s="62"/>
      <c r="T22" s="171"/>
      <c r="U22" s="172"/>
      <c r="V22" s="172"/>
      <c r="W22" s="173"/>
    </row>
    <row r="23" spans="1:23">
      <c r="A23" s="205" t="s">
        <v>117</v>
      </c>
      <c r="B23" s="206"/>
      <c r="C23" s="52" t="s">
        <v>122</v>
      </c>
      <c r="D23" s="49" t="s">
        <v>121</v>
      </c>
      <c r="E23" s="206" t="s">
        <v>118</v>
      </c>
      <c r="F23" s="206"/>
      <c r="G23" s="49" t="s">
        <v>67</v>
      </c>
      <c r="H23" s="49" t="s">
        <v>119</v>
      </c>
      <c r="I23" s="49" t="s">
        <v>120</v>
      </c>
      <c r="J23" s="206" t="s">
        <v>114</v>
      </c>
      <c r="K23" s="234"/>
      <c r="L23" s="43" t="str">
        <f>hasLocal</f>
        <v/>
      </c>
      <c r="M23" s="57" t="s">
        <v>152</v>
      </c>
      <c r="N23" s="13" t="str">
        <f t="shared" si="3"/>
        <v>-</v>
      </c>
      <c r="O23" s="18">
        <v>0</v>
      </c>
      <c r="P23" s="61">
        <f t="shared" si="4"/>
        <v>1</v>
      </c>
      <c r="Q23" s="61" t="str">
        <f t="shared" si="1"/>
        <v/>
      </c>
      <c r="R23" s="61"/>
      <c r="S23" s="62"/>
      <c r="T23" s="171"/>
      <c r="U23" s="172"/>
      <c r="V23" s="172"/>
      <c r="W23" s="173"/>
    </row>
    <row r="24" spans="1:23">
      <c r="A24" s="207"/>
      <c r="B24" s="208"/>
      <c r="C24" s="46" t="s">
        <v>69</v>
      </c>
      <c r="D24" s="17"/>
      <c r="E24" s="211" t="str">
        <f>attack1</f>
        <v>+3</v>
      </c>
      <c r="F24" s="259"/>
      <c r="G24" s="46"/>
      <c r="H24" s="46"/>
      <c r="I24" s="26"/>
      <c r="J24" s="211"/>
      <c r="K24" s="212"/>
      <c r="L24" s="43" t="str">
        <f>hasNature</f>
        <v/>
      </c>
      <c r="M24" s="57" t="s">
        <v>153</v>
      </c>
      <c r="N24" s="13" t="str">
        <f t="shared" si="3"/>
        <v>-</v>
      </c>
      <c r="O24" s="18">
        <v>0</v>
      </c>
      <c r="P24" s="61">
        <f t="shared" si="4"/>
        <v>1</v>
      </c>
      <c r="Q24" s="61" t="str">
        <f>IF(AND(O24&gt;0, L24="X"), 3, "")</f>
        <v/>
      </c>
      <c r="R24" s="61"/>
      <c r="S24" s="62"/>
      <c r="T24" s="171"/>
      <c r="U24" s="172"/>
      <c r="V24" s="172"/>
      <c r="W24" s="173"/>
    </row>
    <row r="25" spans="1:23">
      <c r="A25" s="207"/>
      <c r="B25" s="208"/>
      <c r="C25" s="46"/>
      <c r="D25" s="17"/>
      <c r="E25" s="210" t="str">
        <f>attack2</f>
        <v>-</v>
      </c>
      <c r="F25" s="224"/>
      <c r="G25" s="46"/>
      <c r="H25" s="46"/>
      <c r="I25" s="26"/>
      <c r="J25" s="210"/>
      <c r="K25" s="173"/>
      <c r="L25" s="43" t="str">
        <f>hasNobility</f>
        <v/>
      </c>
      <c r="M25" s="57" t="s">
        <v>505</v>
      </c>
      <c r="N25" s="13" t="str">
        <f t="shared" si="3"/>
        <v>-</v>
      </c>
      <c r="O25" s="18">
        <v>0</v>
      </c>
      <c r="P25" s="61">
        <f t="shared" si="4"/>
        <v>1</v>
      </c>
      <c r="Q25" s="61" t="str">
        <f t="shared" ref="Q25:Q43" si="5">IF(AND(O25&gt;0, L25="X"), 3, "")</f>
        <v/>
      </c>
      <c r="R25" s="61"/>
      <c r="S25" s="62"/>
      <c r="T25" s="171"/>
      <c r="U25" s="172"/>
      <c r="V25" s="172"/>
      <c r="W25" s="173"/>
    </row>
    <row r="26" spans="1:23">
      <c r="A26" s="207"/>
      <c r="B26" s="208"/>
      <c r="C26" s="46"/>
      <c r="D26" s="17"/>
      <c r="E26" s="210" t="str">
        <f>attack3</f>
        <v>-</v>
      </c>
      <c r="F26" s="224"/>
      <c r="G26" s="46"/>
      <c r="H26" s="46"/>
      <c r="I26" s="26"/>
      <c r="J26" s="210"/>
      <c r="K26" s="173"/>
      <c r="L26" s="43" t="str">
        <f>hasPlanes</f>
        <v/>
      </c>
      <c r="M26" s="57" t="s">
        <v>155</v>
      </c>
      <c r="N26" s="13" t="str">
        <f t="shared" si="3"/>
        <v>-</v>
      </c>
      <c r="O26" s="18">
        <v>0</v>
      </c>
      <c r="P26" s="61">
        <f t="shared" si="4"/>
        <v>1</v>
      </c>
      <c r="Q26" s="61" t="str">
        <f t="shared" si="5"/>
        <v/>
      </c>
      <c r="R26" s="61"/>
      <c r="S26" s="62"/>
      <c r="T26" s="171"/>
      <c r="U26" s="172"/>
      <c r="V26" s="172"/>
      <c r="W26" s="173"/>
    </row>
    <row r="27" spans="1:23">
      <c r="A27" s="207"/>
      <c r="B27" s="208"/>
      <c r="C27" s="46"/>
      <c r="D27" s="17"/>
      <c r="E27" s="210" t="str">
        <f>attack4</f>
        <v>-</v>
      </c>
      <c r="F27" s="224"/>
      <c r="G27" s="46"/>
      <c r="H27" s="46"/>
      <c r="I27" s="26"/>
      <c r="J27" s="210"/>
      <c r="K27" s="173"/>
      <c r="L27" s="43" t="str">
        <f>hasReligion</f>
        <v/>
      </c>
      <c r="M27" s="57" t="s">
        <v>156</v>
      </c>
      <c r="N27" s="13" t="str">
        <f t="shared" si="3"/>
        <v>-</v>
      </c>
      <c r="O27" s="18">
        <v>0</v>
      </c>
      <c r="P27" s="61">
        <f t="shared" si="4"/>
        <v>1</v>
      </c>
      <c r="Q27" s="61" t="str">
        <f t="shared" si="5"/>
        <v/>
      </c>
      <c r="R27" s="61"/>
      <c r="S27" s="62"/>
      <c r="T27" s="171"/>
      <c r="U27" s="172"/>
      <c r="V27" s="172"/>
      <c r="W27" s="173"/>
    </row>
    <row r="28" spans="1:23" ht="15" thickBot="1">
      <c r="A28" s="207"/>
      <c r="B28" s="208"/>
      <c r="C28" s="46"/>
      <c r="D28" s="17"/>
      <c r="E28" s="210" t="str">
        <f>attack5</f>
        <v>-</v>
      </c>
      <c r="F28" s="224"/>
      <c r="G28" s="46"/>
      <c r="H28" s="46"/>
      <c r="I28" s="26"/>
      <c r="J28" s="209"/>
      <c r="K28" s="199"/>
      <c r="L28" s="43" t="str">
        <f>hasLinguistics</f>
        <v/>
      </c>
      <c r="M28" s="57" t="s">
        <v>506</v>
      </c>
      <c r="N28" s="13" t="str">
        <f t="shared" si="3"/>
        <v>-</v>
      </c>
      <c r="O28" s="18">
        <v>0</v>
      </c>
      <c r="P28" s="61">
        <f t="shared" si="4"/>
        <v>1</v>
      </c>
      <c r="Q28" s="61" t="str">
        <f t="shared" si="5"/>
        <v/>
      </c>
      <c r="R28" s="61"/>
      <c r="S28" s="62"/>
      <c r="T28" s="171"/>
      <c r="U28" s="172"/>
      <c r="V28" s="172"/>
      <c r="W28" s="173"/>
    </row>
    <row r="29" spans="1:23" ht="15">
      <c r="A29" s="202" t="s">
        <v>126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4"/>
      <c r="L29" s="43" t="str">
        <f>hasPerception</f>
        <v/>
      </c>
      <c r="M29" s="57" t="s">
        <v>158</v>
      </c>
      <c r="N29" s="13">
        <f>SUM(O29:S29)+TempSkillBonus</f>
        <v>4</v>
      </c>
      <c r="O29" s="18">
        <v>0</v>
      </c>
      <c r="P29" s="61">
        <f>wbon</f>
        <v>4</v>
      </c>
      <c r="Q29" s="61" t="str">
        <f t="shared" si="5"/>
        <v/>
      </c>
      <c r="R29" s="61"/>
      <c r="S29" s="62"/>
      <c r="T29" s="171"/>
      <c r="U29" s="172"/>
      <c r="V29" s="172"/>
      <c r="W29" s="173"/>
    </row>
    <row r="30" spans="1:23">
      <c r="A30" s="194" t="s">
        <v>488</v>
      </c>
      <c r="B30" s="195"/>
      <c r="C30" s="195"/>
      <c r="D30" s="195"/>
      <c r="E30" s="192"/>
      <c r="F30" s="192"/>
      <c r="G30" s="192"/>
      <c r="H30" s="193"/>
      <c r="I30" s="233" t="s">
        <v>127</v>
      </c>
      <c r="J30" s="206"/>
      <c r="K30" s="234"/>
      <c r="L30" s="43" t="str">
        <f>hasPerform</f>
        <v/>
      </c>
      <c r="M30" s="57" t="s">
        <v>507</v>
      </c>
      <c r="N30" s="13">
        <f>SUM(O30:S30)+TempSkillBonus</f>
        <v>1</v>
      </c>
      <c r="O30" s="18">
        <v>0</v>
      </c>
      <c r="P30" s="61">
        <f>chbon</f>
        <v>1</v>
      </c>
      <c r="Q30" s="61" t="str">
        <f t="shared" si="5"/>
        <v/>
      </c>
      <c r="R30" s="61"/>
      <c r="S30" s="62"/>
      <c r="T30" s="171"/>
      <c r="U30" s="172"/>
      <c r="V30" s="172"/>
      <c r="W30" s="173"/>
    </row>
    <row r="31" spans="1:23">
      <c r="A31" s="191"/>
      <c r="B31" s="192"/>
      <c r="C31" s="192"/>
      <c r="D31" s="192"/>
      <c r="E31" s="192"/>
      <c r="F31" s="192"/>
      <c r="G31" s="192"/>
      <c r="H31" s="193"/>
      <c r="I31" s="148"/>
      <c r="J31" s="149">
        <v>0</v>
      </c>
      <c r="K31" s="150" t="s">
        <v>240</v>
      </c>
      <c r="L31" s="43" t="str">
        <f>hasPerform</f>
        <v/>
      </c>
      <c r="M31" s="57" t="s">
        <v>507</v>
      </c>
      <c r="N31" s="13">
        <f>SUM(O31:S31)+TempSkillBonus</f>
        <v>1</v>
      </c>
      <c r="O31" s="18">
        <v>0</v>
      </c>
      <c r="P31" s="61">
        <f>chbon</f>
        <v>1</v>
      </c>
      <c r="Q31" s="61" t="str">
        <f t="shared" si="5"/>
        <v/>
      </c>
      <c r="R31" s="61"/>
      <c r="S31" s="62"/>
      <c r="T31" s="171"/>
      <c r="U31" s="172"/>
      <c r="V31" s="172"/>
      <c r="W31" s="173"/>
    </row>
    <row r="32" spans="1:23">
      <c r="A32" s="191"/>
      <c r="B32" s="192"/>
      <c r="C32" s="192"/>
      <c r="D32" s="192"/>
      <c r="E32" s="192"/>
      <c r="F32" s="192"/>
      <c r="G32" s="192"/>
      <c r="H32" s="193"/>
      <c r="I32" s="151"/>
      <c r="J32" s="152"/>
      <c r="K32" s="153"/>
      <c r="L32" s="43" t="str">
        <f>hasPerform</f>
        <v/>
      </c>
      <c r="M32" s="57" t="s">
        <v>507</v>
      </c>
      <c r="N32" s="13">
        <f>SUM(O32:S32)+TempSkillBonus</f>
        <v>1</v>
      </c>
      <c r="O32" s="18">
        <v>0</v>
      </c>
      <c r="P32" s="61">
        <f>chbon</f>
        <v>1</v>
      </c>
      <c r="Q32" s="61" t="str">
        <f t="shared" si="5"/>
        <v/>
      </c>
      <c r="R32" s="61"/>
      <c r="S32" s="62"/>
      <c r="T32" s="171"/>
      <c r="U32" s="172"/>
      <c r="V32" s="172"/>
      <c r="W32" s="173"/>
    </row>
    <row r="33" spans="1:23">
      <c r="A33" s="191"/>
      <c r="B33" s="192"/>
      <c r="C33" s="192"/>
      <c r="D33" s="192"/>
      <c r="E33" s="192"/>
      <c r="F33" s="192"/>
      <c r="G33" s="192"/>
      <c r="H33" s="193"/>
      <c r="I33" s="151"/>
      <c r="J33" s="152"/>
      <c r="K33" s="153"/>
      <c r="L33" s="43" t="str">
        <f>hasProfession</f>
        <v>X</v>
      </c>
      <c r="M33" s="57" t="s">
        <v>509</v>
      </c>
      <c r="N33" s="13" t="str">
        <f>IF(O33&gt;0,SUM(O33:S33)+TempSkillBonus,"-")</f>
        <v>-</v>
      </c>
      <c r="O33" s="18">
        <v>0</v>
      </c>
      <c r="P33" s="61">
        <f>wbon</f>
        <v>4</v>
      </c>
      <c r="Q33" s="61" t="str">
        <f t="shared" si="5"/>
        <v/>
      </c>
      <c r="R33" s="61"/>
      <c r="S33" s="62"/>
      <c r="T33" s="171"/>
      <c r="U33" s="172"/>
      <c r="V33" s="172"/>
      <c r="W33" s="173"/>
    </row>
    <row r="34" spans="1:23" ht="15" thickBot="1">
      <c r="A34" s="191"/>
      <c r="B34" s="192"/>
      <c r="C34" s="192"/>
      <c r="D34" s="192"/>
      <c r="E34" s="192"/>
      <c r="F34" s="192"/>
      <c r="G34" s="192"/>
      <c r="H34" s="193"/>
      <c r="I34" s="151"/>
      <c r="J34" s="152"/>
      <c r="K34" s="153"/>
      <c r="L34" s="43" t="str">
        <f>hasProfession</f>
        <v>X</v>
      </c>
      <c r="M34" s="57" t="s">
        <v>509</v>
      </c>
      <c r="N34" s="13" t="str">
        <f>IF(O34&gt;0,SUM(O34:S34)+TempSkillBonus,"-")</f>
        <v>-</v>
      </c>
      <c r="O34" s="18">
        <v>0</v>
      </c>
      <c r="P34" s="61">
        <f>wbon</f>
        <v>4</v>
      </c>
      <c r="Q34" s="61" t="str">
        <f t="shared" si="5"/>
        <v/>
      </c>
      <c r="R34" s="61"/>
      <c r="S34" s="62"/>
      <c r="T34" s="171"/>
      <c r="U34" s="172"/>
      <c r="V34" s="172"/>
      <c r="W34" s="173"/>
    </row>
    <row r="35" spans="1:23" ht="15">
      <c r="A35" s="191"/>
      <c r="B35" s="192"/>
      <c r="C35" s="192"/>
      <c r="D35" s="192"/>
      <c r="E35" s="192"/>
      <c r="F35" s="192"/>
      <c r="G35" s="192"/>
      <c r="H35" s="193"/>
      <c r="I35" s="151"/>
      <c r="J35" s="152"/>
      <c r="K35" s="153"/>
      <c r="L35" s="43" t="str">
        <f>hasProfession</f>
        <v>X</v>
      </c>
      <c r="M35" s="57" t="s">
        <v>509</v>
      </c>
      <c r="N35" s="13" t="str">
        <f>IF(O35&gt;0,SUM(O35:S35)+TempSkillBonus,"-")</f>
        <v>-</v>
      </c>
      <c r="O35" s="18">
        <v>0</v>
      </c>
      <c r="P35" s="61">
        <f>wbon</f>
        <v>4</v>
      </c>
      <c r="Q35" s="61" t="str">
        <f t="shared" si="5"/>
        <v/>
      </c>
      <c r="R35" s="61"/>
      <c r="S35" s="62"/>
      <c r="T35" s="181" t="s">
        <v>486</v>
      </c>
      <c r="U35" s="182"/>
      <c r="V35" s="182"/>
      <c r="W35" s="182"/>
    </row>
    <row r="36" spans="1:23">
      <c r="A36" s="191"/>
      <c r="B36" s="192"/>
      <c r="C36" s="192"/>
      <c r="D36" s="192"/>
      <c r="E36" s="192"/>
      <c r="F36" s="192"/>
      <c r="G36" s="192"/>
      <c r="H36" s="193"/>
      <c r="I36" s="151"/>
      <c r="J36" s="152"/>
      <c r="K36" s="153"/>
      <c r="L36" s="43" t="str">
        <f>hasRide</f>
        <v>X</v>
      </c>
      <c r="M36" s="57" t="s">
        <v>161</v>
      </c>
      <c r="N36" s="13">
        <f>SUM(O36:S36)+TempSkillBonus</f>
        <v>2</v>
      </c>
      <c r="O36" s="18">
        <v>0</v>
      </c>
      <c r="P36" s="61">
        <f>dbon</f>
        <v>2</v>
      </c>
      <c r="Q36" s="61" t="str">
        <f t="shared" si="5"/>
        <v/>
      </c>
      <c r="R36" s="61"/>
      <c r="S36" s="62">
        <f>armorpen</f>
        <v>0</v>
      </c>
      <c r="T36" s="174"/>
      <c r="U36" s="175"/>
      <c r="V36" s="175"/>
      <c r="W36" s="176"/>
    </row>
    <row r="37" spans="1:23">
      <c r="A37" s="191"/>
      <c r="B37" s="192"/>
      <c r="C37" s="192"/>
      <c r="D37" s="192"/>
      <c r="E37" s="192"/>
      <c r="F37" s="192"/>
      <c r="G37" s="192"/>
      <c r="H37" s="193"/>
      <c r="I37" s="151"/>
      <c r="J37" s="152"/>
      <c r="K37" s="153"/>
      <c r="L37" s="43" t="str">
        <f>hasSenseMotive</f>
        <v/>
      </c>
      <c r="M37" s="57" t="s">
        <v>162</v>
      </c>
      <c r="N37" s="13">
        <f>SUM(O37:S37)+TempSkillBonus</f>
        <v>4</v>
      </c>
      <c r="O37" s="18">
        <v>0</v>
      </c>
      <c r="P37" s="61">
        <f>wbon</f>
        <v>4</v>
      </c>
      <c r="Q37" s="61" t="str">
        <f t="shared" si="5"/>
        <v/>
      </c>
      <c r="R37" s="61"/>
      <c r="S37" s="62"/>
      <c r="T37" s="177"/>
      <c r="U37" s="178"/>
      <c r="V37" s="179"/>
      <c r="W37" s="180"/>
    </row>
    <row r="38" spans="1:23">
      <c r="A38" s="191"/>
      <c r="B38" s="192"/>
      <c r="C38" s="192"/>
      <c r="D38" s="192"/>
      <c r="E38" s="192"/>
      <c r="F38" s="192"/>
      <c r="G38" s="192"/>
      <c r="H38" s="193"/>
      <c r="I38" s="151"/>
      <c r="J38" s="152"/>
      <c r="K38" s="153"/>
      <c r="L38" s="43" t="str">
        <f>hasSleightofHand</f>
        <v/>
      </c>
      <c r="M38" s="57" t="s">
        <v>508</v>
      </c>
      <c r="N38" s="13" t="str">
        <f>IF(O38&gt;0,SUM(O38:S38)+TempSkillBonus,"-")</f>
        <v>-</v>
      </c>
      <c r="O38" s="18">
        <v>0</v>
      </c>
      <c r="P38" s="61">
        <f>dbon</f>
        <v>2</v>
      </c>
      <c r="Q38" s="61" t="str">
        <f t="shared" si="5"/>
        <v/>
      </c>
      <c r="R38" s="61"/>
      <c r="S38" s="62">
        <f>armorpen</f>
        <v>0</v>
      </c>
      <c r="T38" s="177"/>
      <c r="U38" s="178"/>
      <c r="V38" s="179"/>
      <c r="W38" s="180"/>
    </row>
    <row r="39" spans="1:23" ht="15" thickBot="1">
      <c r="A39" s="191"/>
      <c r="B39" s="192"/>
      <c r="C39" s="192"/>
      <c r="D39" s="192"/>
      <c r="E39" s="192"/>
      <c r="F39" s="192"/>
      <c r="G39" s="192"/>
      <c r="H39" s="193"/>
      <c r="I39" s="151"/>
      <c r="J39" s="152"/>
      <c r="K39" s="153"/>
      <c r="L39" s="43" t="str">
        <f>hasSpellcraft</f>
        <v/>
      </c>
      <c r="M39" s="57" t="s">
        <v>164</v>
      </c>
      <c r="N39" s="13" t="str">
        <f>IF(O39&gt;0,SUM(O39:S39)+TempSkillBonus,"-")</f>
        <v>-</v>
      </c>
      <c r="O39" s="18">
        <v>0</v>
      </c>
      <c r="P39" s="61">
        <f>ibon</f>
        <v>1</v>
      </c>
      <c r="Q39" s="61" t="str">
        <f t="shared" si="5"/>
        <v/>
      </c>
      <c r="R39" s="61"/>
      <c r="S39" s="62"/>
      <c r="T39" s="177"/>
      <c r="U39" s="178"/>
      <c r="V39" s="179"/>
      <c r="W39" s="180"/>
    </row>
    <row r="40" spans="1:23" ht="15">
      <c r="A40" s="191"/>
      <c r="B40" s="192"/>
      <c r="C40" s="192"/>
      <c r="D40" s="192"/>
      <c r="E40" s="192"/>
      <c r="F40" s="192"/>
      <c r="G40" s="192"/>
      <c r="H40" s="193"/>
      <c r="I40" s="151"/>
      <c r="J40" s="152"/>
      <c r="K40" s="153"/>
      <c r="L40" s="43" t="str">
        <f>hasStealth</f>
        <v/>
      </c>
      <c r="M40" s="57" t="s">
        <v>197</v>
      </c>
      <c r="N40" s="13">
        <f>SUM(O40:S40)+TempSkillBonus</f>
        <v>2</v>
      </c>
      <c r="O40" s="18">
        <v>0</v>
      </c>
      <c r="P40" s="61">
        <f>dbon</f>
        <v>2</v>
      </c>
      <c r="Q40" s="61" t="str">
        <f t="shared" si="5"/>
        <v/>
      </c>
      <c r="R40" s="61"/>
      <c r="S40" s="62">
        <f>armorpen</f>
        <v>0</v>
      </c>
      <c r="T40" s="216" t="s">
        <v>173</v>
      </c>
      <c r="U40" s="217"/>
      <c r="V40" s="217"/>
      <c r="W40" s="217"/>
    </row>
    <row r="41" spans="1:23">
      <c r="A41" s="191"/>
      <c r="B41" s="192"/>
      <c r="C41" s="192"/>
      <c r="D41" s="192"/>
      <c r="E41" s="192"/>
      <c r="F41" s="192"/>
      <c r="G41" s="192"/>
      <c r="H41" s="193"/>
      <c r="I41" s="151"/>
      <c r="J41" s="152"/>
      <c r="K41" s="153"/>
      <c r="L41" s="43" t="str">
        <f>hasSurvival</f>
        <v>X</v>
      </c>
      <c r="M41" s="57" t="s">
        <v>165</v>
      </c>
      <c r="N41" s="13">
        <f>SUM(O41:S41)+TempSkillBonus</f>
        <v>4</v>
      </c>
      <c r="O41" s="18">
        <v>0</v>
      </c>
      <c r="P41" s="61">
        <f>wbon</f>
        <v>4</v>
      </c>
      <c r="Q41" s="61" t="str">
        <f t="shared" si="5"/>
        <v/>
      </c>
      <c r="R41" s="61"/>
      <c r="S41" s="62"/>
      <c r="T41" s="248"/>
      <c r="U41" s="256"/>
      <c r="V41" s="256"/>
      <c r="W41" s="257"/>
    </row>
    <row r="42" spans="1:23">
      <c r="A42" s="191"/>
      <c r="B42" s="192"/>
      <c r="C42" s="192"/>
      <c r="D42" s="192"/>
      <c r="E42" s="192"/>
      <c r="F42" s="192"/>
      <c r="G42" s="192"/>
      <c r="H42" s="193"/>
      <c r="I42" s="151"/>
      <c r="J42" s="152"/>
      <c r="K42" s="153"/>
      <c r="L42" s="43" t="str">
        <f>hasSwim</f>
        <v>X</v>
      </c>
      <c r="M42" s="57" t="s">
        <v>166</v>
      </c>
      <c r="N42" s="13">
        <f>SUM(O42:S42)+TempSkillBonus</f>
        <v>0</v>
      </c>
      <c r="O42" s="18">
        <v>0</v>
      </c>
      <c r="P42" s="61">
        <f>sbon</f>
        <v>0</v>
      </c>
      <c r="Q42" s="61" t="str">
        <f t="shared" si="5"/>
        <v/>
      </c>
      <c r="R42" s="61"/>
      <c r="S42" s="62">
        <f>armorpen</f>
        <v>0</v>
      </c>
      <c r="T42" s="171"/>
      <c r="U42" s="172"/>
      <c r="V42" s="172"/>
      <c r="W42" s="173"/>
    </row>
    <row r="43" spans="1:23">
      <c r="A43" s="191"/>
      <c r="B43" s="192"/>
      <c r="C43" s="192"/>
      <c r="D43" s="192"/>
      <c r="E43" s="192"/>
      <c r="F43" s="192"/>
      <c r="G43" s="192"/>
      <c r="H43" s="193"/>
      <c r="I43" s="151"/>
      <c r="J43" s="152"/>
      <c r="K43" s="153"/>
      <c r="L43" s="107" t="str">
        <f>hasUseMagicDevice</f>
        <v/>
      </c>
      <c r="M43" s="63" t="s">
        <v>167</v>
      </c>
      <c r="N43" s="64" t="str">
        <f>IF(O43&gt;0,SUM(O43:S43)+TempSkillBonus,"-")</f>
        <v>-</v>
      </c>
      <c r="O43" s="65">
        <v>0</v>
      </c>
      <c r="P43" s="66">
        <f>chbon</f>
        <v>1</v>
      </c>
      <c r="Q43" s="61" t="str">
        <f t="shared" si="5"/>
        <v/>
      </c>
      <c r="R43" s="66"/>
      <c r="S43" s="67"/>
      <c r="T43" s="171"/>
      <c r="U43" s="172"/>
      <c r="V43" s="172"/>
      <c r="W43" s="173"/>
    </row>
    <row r="44" spans="1:23" ht="15" thickBot="1">
      <c r="A44" s="191"/>
      <c r="B44" s="192"/>
      <c r="C44" s="192"/>
      <c r="D44" s="192"/>
      <c r="E44" s="192"/>
      <c r="F44" s="192"/>
      <c r="G44" s="192"/>
      <c r="H44" s="193"/>
      <c r="J44" s="152"/>
      <c r="K44" s="153"/>
      <c r="L44" s="347" t="s">
        <v>494</v>
      </c>
      <c r="M44" s="232"/>
      <c r="N44" s="256">
        <f>IF(BGSkillTotal-BGSkillSum&gt;0, BGSkillTotal-BGSkillSum, "All Used")</f>
        <v>2</v>
      </c>
      <c r="O44" s="249"/>
      <c r="P44" s="231" t="s">
        <v>171</v>
      </c>
      <c r="Q44" s="232"/>
      <c r="R44" s="232"/>
      <c r="S44" s="44">
        <v>0</v>
      </c>
      <c r="T44" s="284"/>
      <c r="U44" s="254"/>
      <c r="V44" s="254"/>
      <c r="W44" s="255"/>
    </row>
    <row r="45" spans="1:23" s="6" customFormat="1" ht="15">
      <c r="A45" s="191"/>
      <c r="B45" s="192"/>
      <c r="C45" s="192"/>
      <c r="D45" s="192"/>
      <c r="E45" s="192"/>
      <c r="F45" s="192"/>
      <c r="G45" s="192"/>
      <c r="H45" s="193"/>
      <c r="I45" s="216" t="s">
        <v>133</v>
      </c>
      <c r="J45" s="217"/>
      <c r="K45" s="218"/>
      <c r="M45" s="348" t="s">
        <v>531</v>
      </c>
      <c r="N45" s="344">
        <f>SkillTotal+favoredskill+humanSkill-SUM(O3:O43)+IF(BGSkillTotal-BGSkillSum&gt;0, BGSkillSum, BGSkillTotal)</f>
        <v>4</v>
      </c>
      <c r="O45" s="224"/>
      <c r="P45" s="345" t="s">
        <v>491</v>
      </c>
      <c r="Q45" s="346"/>
      <c r="R45" s="346"/>
      <c r="S45" s="157">
        <v>0</v>
      </c>
      <c r="T45" s="216" t="s">
        <v>381</v>
      </c>
      <c r="U45" s="217"/>
      <c r="V45" s="217"/>
      <c r="W45" s="217"/>
    </row>
    <row r="46" spans="1:23" s="6" customFormat="1">
      <c r="A46" s="191"/>
      <c r="B46" s="192"/>
      <c r="C46" s="192"/>
      <c r="D46" s="192"/>
      <c r="E46" s="192"/>
      <c r="F46" s="192"/>
      <c r="G46" s="192"/>
      <c r="H46" s="193"/>
      <c r="I46" s="142" t="s">
        <v>202</v>
      </c>
      <c r="J46" s="256" t="s">
        <v>524</v>
      </c>
      <c r="K46" s="257"/>
      <c r="L46" s="304" t="s">
        <v>492</v>
      </c>
      <c r="M46" s="294"/>
      <c r="N46" s="243">
        <f>SkillTotal+favoredskill+humanSkill+BGSkillTotal-SUM(O3:O43)</f>
        <v>6</v>
      </c>
      <c r="O46" s="244"/>
      <c r="P46" s="293" t="s">
        <v>529</v>
      </c>
      <c r="Q46" s="294"/>
      <c r="R46" s="294"/>
      <c r="S46" s="3">
        <v>0</v>
      </c>
      <c r="T46" s="248"/>
      <c r="U46" s="256"/>
      <c r="V46" s="256"/>
      <c r="W46" s="257"/>
    </row>
    <row r="47" spans="1:23" ht="15" thickBot="1">
      <c r="A47" s="191"/>
      <c r="B47" s="192"/>
      <c r="C47" s="192"/>
      <c r="D47" s="192"/>
      <c r="E47" s="192"/>
      <c r="F47" s="192"/>
      <c r="G47" s="192"/>
      <c r="H47" s="193"/>
      <c r="I47" s="42">
        <v>0</v>
      </c>
      <c r="J47" s="254" t="str">
        <f>XPProg</f>
        <v>/</v>
      </c>
      <c r="K47" s="255"/>
      <c r="L47" s="205" t="s">
        <v>373</v>
      </c>
      <c r="M47" s="206"/>
      <c r="N47" s="206"/>
      <c r="O47" s="206"/>
      <c r="P47" s="206"/>
      <c r="Q47" s="206"/>
      <c r="R47" s="206"/>
      <c r="S47" s="234"/>
      <c r="T47" s="171"/>
      <c r="U47" s="172"/>
      <c r="V47" s="172"/>
      <c r="W47" s="173"/>
    </row>
    <row r="48" spans="1:23" ht="16" thickBot="1">
      <c r="A48" s="202" t="s">
        <v>218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4"/>
      <c r="L48" s="168"/>
      <c r="M48" s="169"/>
      <c r="N48" s="169"/>
      <c r="O48" s="169"/>
      <c r="P48" s="169"/>
      <c r="Q48" s="169"/>
      <c r="R48" s="169"/>
      <c r="S48" s="170"/>
      <c r="T48" s="290"/>
      <c r="U48" s="198"/>
      <c r="V48" s="198"/>
      <c r="W48" s="199"/>
    </row>
    <row r="49" spans="1:18">
      <c r="A49" s="171"/>
      <c r="B49" s="172"/>
      <c r="C49" s="144" t="s">
        <v>219</v>
      </c>
      <c r="D49" s="144" t="s">
        <v>71</v>
      </c>
      <c r="E49" s="144" t="s">
        <v>118</v>
      </c>
      <c r="F49" s="144" t="s">
        <v>220</v>
      </c>
      <c r="G49" s="144" t="s">
        <v>68</v>
      </c>
      <c r="H49" s="144" t="s">
        <v>204</v>
      </c>
      <c r="I49" s="144" t="s">
        <v>56</v>
      </c>
      <c r="J49" s="144"/>
      <c r="K49" s="143"/>
      <c r="R49"/>
    </row>
    <row r="50" spans="1:18">
      <c r="A50" s="298" t="s">
        <v>210</v>
      </c>
      <c r="B50" s="299"/>
      <c r="C50" s="89"/>
      <c r="D50" s="90"/>
      <c r="E50" s="90"/>
      <c r="F50" s="90"/>
      <c r="G50" s="90"/>
      <c r="H50" s="89"/>
      <c r="I50" s="90"/>
      <c r="J50" s="140"/>
      <c r="K50" s="143"/>
      <c r="R50"/>
    </row>
    <row r="51" spans="1:18">
      <c r="A51" s="298" t="s">
        <v>72</v>
      </c>
      <c r="B51" s="299"/>
      <c r="C51" s="90"/>
      <c r="D51" s="89"/>
      <c r="E51" s="90"/>
      <c r="F51" s="90"/>
      <c r="G51" s="90"/>
      <c r="H51" s="90"/>
      <c r="I51" s="90"/>
      <c r="J51" s="140"/>
      <c r="K51" s="143"/>
      <c r="R51"/>
    </row>
    <row r="52" spans="1:18">
      <c r="A52" s="298" t="s">
        <v>211</v>
      </c>
      <c r="B52" s="299"/>
      <c r="C52" s="89"/>
      <c r="D52" s="89"/>
      <c r="E52" s="89"/>
      <c r="F52" s="89"/>
      <c r="G52" s="89"/>
      <c r="H52" s="89"/>
      <c r="I52" s="89"/>
      <c r="J52" s="141"/>
      <c r="K52" s="143"/>
      <c r="R52"/>
    </row>
    <row r="53" spans="1:18">
      <c r="A53" s="298" t="s">
        <v>207</v>
      </c>
      <c r="B53" s="299"/>
      <c r="C53" s="90"/>
      <c r="D53" s="90"/>
      <c r="E53" s="89"/>
      <c r="F53" s="90"/>
      <c r="G53" s="90"/>
      <c r="H53" s="89"/>
      <c r="I53" s="89"/>
      <c r="J53" s="141"/>
      <c r="K53" s="143"/>
      <c r="R53"/>
    </row>
    <row r="54" spans="1:18">
      <c r="A54" s="298" t="s">
        <v>212</v>
      </c>
      <c r="B54" s="299"/>
      <c r="C54" s="90"/>
      <c r="D54" s="89"/>
      <c r="E54" s="90"/>
      <c r="F54" s="90"/>
      <c r="G54" s="90"/>
      <c r="H54" s="90"/>
      <c r="I54" s="90"/>
      <c r="J54" s="140"/>
      <c r="K54" s="143"/>
      <c r="R54"/>
    </row>
    <row r="55" spans="1:18">
      <c r="A55" s="298" t="s">
        <v>87</v>
      </c>
      <c r="B55" s="299"/>
      <c r="C55" s="90"/>
      <c r="D55" s="89"/>
      <c r="E55" s="90"/>
      <c r="F55" s="90"/>
      <c r="G55" s="90"/>
      <c r="H55" s="90"/>
      <c r="I55" s="90"/>
      <c r="J55" s="140"/>
      <c r="K55" s="143"/>
      <c r="R55"/>
    </row>
    <row r="56" spans="1:18">
      <c r="A56" s="298" t="s">
        <v>205</v>
      </c>
      <c r="B56" s="299"/>
      <c r="C56" s="89"/>
      <c r="D56" s="89"/>
      <c r="E56" s="89"/>
      <c r="F56" s="89"/>
      <c r="G56" s="90"/>
      <c r="H56" s="90"/>
      <c r="I56" s="90"/>
      <c r="J56" s="140"/>
      <c r="K56" s="143"/>
      <c r="R56"/>
    </row>
    <row r="57" spans="1:18">
      <c r="A57" s="298" t="s">
        <v>213</v>
      </c>
      <c r="B57" s="299"/>
      <c r="C57" s="89"/>
      <c r="D57" s="89"/>
      <c r="E57" s="89"/>
      <c r="F57" s="89"/>
      <c r="G57" s="89"/>
      <c r="H57" s="89"/>
      <c r="I57" s="89"/>
      <c r="J57" s="141"/>
      <c r="K57" s="143"/>
      <c r="R57"/>
    </row>
    <row r="58" spans="1:18">
      <c r="A58" s="298" t="s">
        <v>214</v>
      </c>
      <c r="B58" s="299"/>
      <c r="C58" s="89"/>
      <c r="D58" s="89"/>
      <c r="E58" s="89"/>
      <c r="F58" s="89"/>
      <c r="G58" s="89"/>
      <c r="H58" s="89"/>
      <c r="I58" s="89"/>
      <c r="J58" s="141"/>
      <c r="K58" s="143"/>
      <c r="R58"/>
    </row>
    <row r="59" spans="1:18">
      <c r="A59" s="298" t="s">
        <v>208</v>
      </c>
      <c r="B59" s="299"/>
      <c r="C59" s="89"/>
      <c r="D59" s="89"/>
      <c r="E59" s="89"/>
      <c r="F59" s="89"/>
      <c r="G59" s="89"/>
      <c r="H59" s="89"/>
      <c r="I59" s="89"/>
      <c r="J59" s="141"/>
      <c r="K59" s="143"/>
      <c r="R59"/>
    </row>
    <row r="60" spans="1:18">
      <c r="A60" s="298" t="s">
        <v>215</v>
      </c>
      <c r="B60" s="299"/>
      <c r="C60" s="90"/>
      <c r="D60" s="89"/>
      <c r="E60" s="90"/>
      <c r="F60" s="90"/>
      <c r="G60" s="90"/>
      <c r="H60" s="90"/>
      <c r="I60" s="90"/>
      <c r="J60" s="140"/>
      <c r="K60" s="143"/>
      <c r="R60"/>
    </row>
    <row r="61" spans="1:18">
      <c r="A61" s="298" t="s">
        <v>216</v>
      </c>
      <c r="B61" s="299"/>
      <c r="C61" s="89"/>
      <c r="D61" s="89"/>
      <c r="E61" s="89"/>
      <c r="F61" s="89"/>
      <c r="G61" s="89"/>
      <c r="H61" s="89"/>
      <c r="I61" s="89"/>
      <c r="J61" s="141"/>
      <c r="K61" s="143"/>
      <c r="R61"/>
    </row>
    <row r="62" spans="1:18">
      <c r="A62" s="298" t="s">
        <v>217</v>
      </c>
      <c r="B62" s="299"/>
      <c r="C62" s="90"/>
      <c r="D62" s="90"/>
      <c r="E62" s="90"/>
      <c r="F62" s="90"/>
      <c r="G62" s="90"/>
      <c r="H62" s="89"/>
      <c r="I62" s="90"/>
      <c r="J62" s="140"/>
      <c r="K62" s="143"/>
      <c r="R62"/>
    </row>
    <row r="63" spans="1:18">
      <c r="A63" s="298" t="s">
        <v>206</v>
      </c>
      <c r="B63" s="299"/>
      <c r="C63" s="89"/>
      <c r="D63" s="89"/>
      <c r="E63" s="89"/>
      <c r="F63" s="89"/>
      <c r="G63" s="89"/>
      <c r="H63" s="89"/>
      <c r="I63" s="89"/>
      <c r="J63" s="141"/>
      <c r="K63" s="143"/>
      <c r="R63"/>
    </row>
    <row r="64" spans="1:18">
      <c r="A64" s="298" t="s">
        <v>73</v>
      </c>
      <c r="B64" s="299"/>
      <c r="C64" s="90"/>
      <c r="D64" s="89"/>
      <c r="E64" s="90"/>
      <c r="F64" s="90"/>
      <c r="G64" s="90"/>
      <c r="H64" s="90"/>
      <c r="I64" s="90"/>
      <c r="J64" s="140"/>
      <c r="K64" s="143"/>
      <c r="R64"/>
    </row>
    <row r="65" spans="1:18" ht="15" thickBot="1">
      <c r="A65" s="302" t="s">
        <v>209</v>
      </c>
      <c r="B65" s="303"/>
      <c r="C65" s="91"/>
      <c r="D65" s="92"/>
      <c r="E65" s="91"/>
      <c r="F65" s="91"/>
      <c r="G65" s="91"/>
      <c r="H65" s="91"/>
      <c r="I65" s="91"/>
      <c r="J65" s="140"/>
      <c r="K65" s="143"/>
      <c r="R65"/>
    </row>
    <row r="66" spans="1:18" ht="15" thickTop="1">
      <c r="A66" s="300" t="s">
        <v>110</v>
      </c>
      <c r="B66" s="301"/>
      <c r="C66" s="93">
        <f>SUM(C50:C65)</f>
        <v>0</v>
      </c>
      <c r="D66" s="93">
        <f t="shared" ref="D66:I66" si="6">SUM(D50:D65)</f>
        <v>0</v>
      </c>
      <c r="E66" s="93">
        <f t="shared" si="6"/>
        <v>0</v>
      </c>
      <c r="F66" s="93">
        <f t="shared" si="6"/>
        <v>0</v>
      </c>
      <c r="G66" s="93">
        <f t="shared" si="6"/>
        <v>0</v>
      </c>
      <c r="H66" s="93">
        <f t="shared" si="6"/>
        <v>0</v>
      </c>
      <c r="I66" s="93">
        <f t="shared" si="6"/>
        <v>0</v>
      </c>
      <c r="J66" s="13"/>
      <c r="K66" s="143"/>
      <c r="R66"/>
    </row>
    <row r="67" spans="1:18">
      <c r="A67" s="278" t="s">
        <v>228</v>
      </c>
      <c r="B67" s="279"/>
      <c r="C67" s="88"/>
      <c r="D67" s="89">
        <f>D51+D52+D54+D56+D58+D60+D61+D63+D64+D65</f>
        <v>0</v>
      </c>
      <c r="E67" s="88"/>
      <c r="F67" s="88"/>
      <c r="G67" s="88"/>
      <c r="H67" s="88"/>
      <c r="I67" s="88"/>
      <c r="J67" s="53"/>
      <c r="K67" s="143"/>
    </row>
    <row r="68" spans="1:18">
      <c r="A68" s="278" t="s">
        <v>86</v>
      </c>
      <c r="B68" s="279"/>
      <c r="C68" s="88"/>
      <c r="D68" s="89">
        <f>D52+D54+D55+D57+D58+D59+D61+D63+D65</f>
        <v>0</v>
      </c>
      <c r="E68" s="88"/>
      <c r="F68" s="88"/>
      <c r="G68" s="88"/>
      <c r="H68" s="88"/>
      <c r="I68" s="88"/>
      <c r="J68" s="53"/>
      <c r="K68" s="143"/>
    </row>
    <row r="69" spans="1:18">
      <c r="A69" s="295" t="s">
        <v>278</v>
      </c>
      <c r="B69" s="296"/>
      <c r="C69" s="296"/>
      <c r="D69" s="296"/>
      <c r="E69" s="296"/>
      <c r="F69" s="296"/>
      <c r="G69" s="296"/>
      <c r="H69" s="296"/>
      <c r="I69" s="296"/>
      <c r="J69" s="296"/>
      <c r="K69" s="297"/>
    </row>
    <row r="70" spans="1:18" ht="15" thickBot="1">
      <c r="A70" s="95"/>
      <c r="B70" s="54"/>
      <c r="C70" s="54"/>
      <c r="D70" s="54"/>
      <c r="E70" s="54"/>
      <c r="F70" s="54"/>
      <c r="G70" s="54"/>
      <c r="H70" s="54"/>
      <c r="I70" s="54"/>
      <c r="J70" s="54"/>
      <c r="K70" s="8"/>
    </row>
  </sheetData>
  <mergeCells count="202">
    <mergeCell ref="T48:W48"/>
    <mergeCell ref="T46:W46"/>
    <mergeCell ref="P46:R46"/>
    <mergeCell ref="L44:M44"/>
    <mergeCell ref="N45:O45"/>
    <mergeCell ref="L46:M46"/>
    <mergeCell ref="T39:U39"/>
    <mergeCell ref="V39:W39"/>
    <mergeCell ref="T45:W45"/>
    <mergeCell ref="N46:O46"/>
    <mergeCell ref="N44:O44"/>
    <mergeCell ref="A42:D42"/>
    <mergeCell ref="E42:H42"/>
    <mergeCell ref="A43:D43"/>
    <mergeCell ref="E43:H43"/>
    <mergeCell ref="T40:W40"/>
    <mergeCell ref="I45:K45"/>
    <mergeCell ref="T43:W43"/>
    <mergeCell ref="A69:K69"/>
    <mergeCell ref="A48:K48"/>
    <mergeCell ref="A63:B63"/>
    <mergeCell ref="A62:B62"/>
    <mergeCell ref="A51:B51"/>
    <mergeCell ref="A50:B50"/>
    <mergeCell ref="A49:B49"/>
    <mergeCell ref="A56:B56"/>
    <mergeCell ref="A55:B55"/>
    <mergeCell ref="A54:B54"/>
    <mergeCell ref="A53:B53"/>
    <mergeCell ref="A52:B52"/>
    <mergeCell ref="A61:B61"/>
    <mergeCell ref="A60:B60"/>
    <mergeCell ref="A59:B59"/>
    <mergeCell ref="A58:B58"/>
    <mergeCell ref="A57:B57"/>
    <mergeCell ref="A66:B66"/>
    <mergeCell ref="A64:B64"/>
    <mergeCell ref="A65:B65"/>
    <mergeCell ref="T15:W15"/>
    <mergeCell ref="T16:W16"/>
    <mergeCell ref="T18:W18"/>
    <mergeCell ref="T14:W14"/>
    <mergeCell ref="T17:W17"/>
    <mergeCell ref="T9:W9"/>
    <mergeCell ref="A67:B67"/>
    <mergeCell ref="A68:B68"/>
    <mergeCell ref="J16:K16"/>
    <mergeCell ref="J17:K17"/>
    <mergeCell ref="J18:K18"/>
    <mergeCell ref="T47:W47"/>
    <mergeCell ref="T41:W41"/>
    <mergeCell ref="T42:W42"/>
    <mergeCell ref="T44:W44"/>
    <mergeCell ref="T11:U11"/>
    <mergeCell ref="V11:W11"/>
    <mergeCell ref="V10:W10"/>
    <mergeCell ref="T10:U10"/>
    <mergeCell ref="L47:S47"/>
    <mergeCell ref="J22:K22"/>
    <mergeCell ref="P45:R45"/>
    <mergeCell ref="T1:W1"/>
    <mergeCell ref="T6:W6"/>
    <mergeCell ref="T2:U2"/>
    <mergeCell ref="V2:W2"/>
    <mergeCell ref="T4:U4"/>
    <mergeCell ref="V4:W4"/>
    <mergeCell ref="T3:U3"/>
    <mergeCell ref="V3:W3"/>
    <mergeCell ref="T5:U5"/>
    <mergeCell ref="V5:W5"/>
    <mergeCell ref="J47:K47"/>
    <mergeCell ref="J46:K46"/>
    <mergeCell ref="A29:K29"/>
    <mergeCell ref="E25:F25"/>
    <mergeCell ref="A26:B26"/>
    <mergeCell ref="E26:F26"/>
    <mergeCell ref="F21:I21"/>
    <mergeCell ref="B21:E21"/>
    <mergeCell ref="E23:F23"/>
    <mergeCell ref="E24:F24"/>
    <mergeCell ref="A24:B24"/>
    <mergeCell ref="A44:D44"/>
    <mergeCell ref="E44:H44"/>
    <mergeCell ref="A47:D47"/>
    <mergeCell ref="E47:H47"/>
    <mergeCell ref="J23:K23"/>
    <mergeCell ref="E27:F27"/>
    <mergeCell ref="A25:B25"/>
    <mergeCell ref="J21:K21"/>
    <mergeCell ref="A27:B27"/>
    <mergeCell ref="A45:D45"/>
    <mergeCell ref="E45:H45"/>
    <mergeCell ref="A46:D46"/>
    <mergeCell ref="E46:H46"/>
    <mergeCell ref="A1:B1"/>
    <mergeCell ref="A2:B2"/>
    <mergeCell ref="D1:E1"/>
    <mergeCell ref="J1:K1"/>
    <mergeCell ref="J2:K2"/>
    <mergeCell ref="J4:K4"/>
    <mergeCell ref="P44:R44"/>
    <mergeCell ref="I30:K30"/>
    <mergeCell ref="A13:K13"/>
    <mergeCell ref="A18:F18"/>
    <mergeCell ref="A19:F19"/>
    <mergeCell ref="A14:B14"/>
    <mergeCell ref="A15:B15"/>
    <mergeCell ref="C16:D16"/>
    <mergeCell ref="C17:D17"/>
    <mergeCell ref="A3:B3"/>
    <mergeCell ref="C3:D3"/>
    <mergeCell ref="A4:B4"/>
    <mergeCell ref="C4:D4"/>
    <mergeCell ref="A5:H5"/>
    <mergeCell ref="J3:K3"/>
    <mergeCell ref="J6:K6"/>
    <mergeCell ref="D2:E2"/>
    <mergeCell ref="L1:S1"/>
    <mergeCell ref="A38:D38"/>
    <mergeCell ref="E38:H38"/>
    <mergeCell ref="A39:D39"/>
    <mergeCell ref="E39:H39"/>
    <mergeCell ref="A40:D40"/>
    <mergeCell ref="E40:H40"/>
    <mergeCell ref="A41:D41"/>
    <mergeCell ref="E41:H41"/>
    <mergeCell ref="E28:F28"/>
    <mergeCell ref="A20:K20"/>
    <mergeCell ref="A23:B23"/>
    <mergeCell ref="A28:B28"/>
    <mergeCell ref="J28:K28"/>
    <mergeCell ref="J27:K27"/>
    <mergeCell ref="J26:K26"/>
    <mergeCell ref="J25:K25"/>
    <mergeCell ref="J24:K24"/>
    <mergeCell ref="I5:K5"/>
    <mergeCell ref="I9:K9"/>
    <mergeCell ref="I10:K10"/>
    <mergeCell ref="J19:K19"/>
    <mergeCell ref="F1:G1"/>
    <mergeCell ref="F2:G2"/>
    <mergeCell ref="J14:K14"/>
    <mergeCell ref="J15:K15"/>
    <mergeCell ref="A35:D35"/>
    <mergeCell ref="E35:H35"/>
    <mergeCell ref="A36:D36"/>
    <mergeCell ref="E36:H36"/>
    <mergeCell ref="A37:D37"/>
    <mergeCell ref="E37:H37"/>
    <mergeCell ref="E30:H30"/>
    <mergeCell ref="A30:D30"/>
    <mergeCell ref="A31:D31"/>
    <mergeCell ref="E31:H31"/>
    <mergeCell ref="A32:D32"/>
    <mergeCell ref="E32:H32"/>
    <mergeCell ref="A33:D33"/>
    <mergeCell ref="E33:H33"/>
    <mergeCell ref="A34:D34"/>
    <mergeCell ref="E34:H34"/>
    <mergeCell ref="J7:K7"/>
    <mergeCell ref="J8:K8"/>
    <mergeCell ref="J11:K11"/>
    <mergeCell ref="J12:K12"/>
    <mergeCell ref="T19:U19"/>
    <mergeCell ref="V19:W19"/>
    <mergeCell ref="T20:U20"/>
    <mergeCell ref="V20:W20"/>
    <mergeCell ref="T21:U21"/>
    <mergeCell ref="V21:W21"/>
    <mergeCell ref="T22:U22"/>
    <mergeCell ref="V22:W22"/>
    <mergeCell ref="T23:U23"/>
    <mergeCell ref="V23:W23"/>
    <mergeCell ref="T24:U24"/>
    <mergeCell ref="V24:W24"/>
    <mergeCell ref="T25:U25"/>
    <mergeCell ref="V25:W25"/>
    <mergeCell ref="T26:U26"/>
    <mergeCell ref="V26:W26"/>
    <mergeCell ref="T27:U27"/>
    <mergeCell ref="V27:W27"/>
    <mergeCell ref="T28:U28"/>
    <mergeCell ref="V28:W28"/>
    <mergeCell ref="T29:U29"/>
    <mergeCell ref="V29:W29"/>
    <mergeCell ref="T30:U30"/>
    <mergeCell ref="V30:W30"/>
    <mergeCell ref="T31:U31"/>
    <mergeCell ref="V31:W31"/>
    <mergeCell ref="T32:U32"/>
    <mergeCell ref="V32:W32"/>
    <mergeCell ref="T33:U33"/>
    <mergeCell ref="V33:W33"/>
    <mergeCell ref="T34:U34"/>
    <mergeCell ref="V34:W34"/>
    <mergeCell ref="T36:U36"/>
    <mergeCell ref="V36:W36"/>
    <mergeCell ref="T37:U37"/>
    <mergeCell ref="V37:W37"/>
    <mergeCell ref="T38:U38"/>
    <mergeCell ref="V38:W38"/>
    <mergeCell ref="T35:W35"/>
  </mergeCells>
  <phoneticPr fontId="8" type="noConversion"/>
  <conditionalFormatting sqref="H11">
    <cfRule type="cellIs" dxfId="4" priority="10" operator="lessThan">
      <formula>0</formula>
    </cfRule>
  </conditionalFormatting>
  <conditionalFormatting sqref="O3:O43">
    <cfRule type="cellIs" dxfId="3" priority="11" operator="greaterThan">
      <formula>$I$2</formula>
    </cfRule>
  </conditionalFormatting>
  <conditionalFormatting sqref="N46">
    <cfRule type="cellIs" dxfId="2" priority="5" operator="lessThan">
      <formula>0</formula>
    </cfRule>
  </conditionalFormatting>
  <conditionalFormatting sqref="N44:O44">
    <cfRule type="cellIs" dxfId="1" priority="2" operator="notEqual">
      <formula>"All Used"</formula>
    </cfRule>
  </conditionalFormatting>
  <conditionalFormatting sqref="M4">
    <cfRule type="expression" dxfId="0" priority="1">
      <formula>IF(ISNUMBER(SEARCH("yes",$W$8)),$W$8,"")</formula>
    </cfRule>
  </conditionalFormatting>
  <dataValidations disablePrompts="1" count="1">
    <dataValidation type="whole" allowBlank="1" showInputMessage="1" showErrorMessage="1" sqref="H2">
      <formula1>1</formula1>
      <formula2>20</formula2>
    </dataValidation>
  </dataValidations>
  <printOptions gridLines="1"/>
  <pageMargins left="0.7" right="0.7" top="0.75" bottom="0.75" header="0.3" footer="0.3"/>
  <pageSetup pageOrder="overThenDown"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vals!$A$2:$A$53</xm:f>
          </x14:formula1>
          <xm:sqref>F2</xm:sqref>
        </x14:dataValidation>
        <x14:dataValidation type="list" allowBlank="1" showInputMessage="1" showErrorMessage="1">
          <x14:formula1>
            <xm:f>vals!$N$3:$N$11</xm:f>
          </x14:formula1>
          <xm:sqref>J2</xm:sqref>
        </x14:dataValidation>
        <x14:dataValidation type="list" allowBlank="1" showInputMessage="1" showErrorMessage="1">
          <x14:formula1>
            <xm:f>vals!$N$14:$N$15</xm:f>
          </x14:formula1>
          <xm:sqref>C24:C28</xm:sqref>
        </x14:dataValidation>
        <x14:dataValidation type="list" allowBlank="1" showInputMessage="1" showErrorMessage="1">
          <x14:formula1>
            <xm:f>vals!$Q$2:$Q$128</xm:f>
          </x14:formula1>
          <xm:sqref>T3:W3</xm:sqref>
        </x14:dataValidation>
        <x14:dataValidation type="list" allowBlank="1" showInputMessage="1" showErrorMessage="1">
          <x14:formula1>
            <xm:f>vals!$BG$3:$BG$92</xm:f>
          </x14:formula1>
          <xm:sqref>A4:B4</xm:sqref>
        </x14:dataValidation>
        <x14:dataValidation type="list" allowBlank="1" showInputMessage="1" showErrorMessage="1">
          <x14:formula1>
            <xm:f>vals!$O$40:$O$43</xm:f>
          </x14:formula1>
          <xm:sqref>J46:K46</xm:sqref>
        </x14:dataValidation>
        <x14:dataValidation type="list" allowBlank="1" showInputMessage="1" showErrorMessage="1">
          <x14:formula1>
            <xm:f>vals!$O$14:$O$15</xm:f>
          </x14:formula1>
          <xm:sqref>W8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opLeftCell="A84" workbookViewId="0">
      <selection activeCell="H115" sqref="H115"/>
    </sheetView>
  </sheetViews>
  <sheetFormatPr baseColWidth="10" defaultColWidth="8.83203125" defaultRowHeight="14" x14ac:dyDescent="0"/>
  <cols>
    <col min="1" max="1" width="2.5" style="6" customWidth="1"/>
    <col min="2" max="2" width="16.5" customWidth="1"/>
    <col min="3" max="3" width="52" customWidth="1"/>
    <col min="4" max="4" width="4.83203125" customWidth="1"/>
    <col min="5" max="5" width="3.1640625" bestFit="1" customWidth="1"/>
    <col min="6" max="7" width="9.5" customWidth="1"/>
    <col min="8" max="8" width="8.6640625" customWidth="1"/>
    <col min="9" max="9" width="6" customWidth="1"/>
    <col min="10" max="10" width="5.83203125" customWidth="1"/>
  </cols>
  <sheetData>
    <row r="1" spans="1:23" ht="15" customHeight="1" thickBot="1">
      <c r="A1" s="202" t="s">
        <v>251</v>
      </c>
      <c r="B1" s="203"/>
      <c r="C1" s="203"/>
      <c r="D1" s="203"/>
      <c r="E1" s="203"/>
      <c r="F1" s="203"/>
      <c r="G1" s="203"/>
      <c r="H1" s="203"/>
      <c r="I1" s="203"/>
      <c r="J1" s="204"/>
      <c r="K1" s="213" t="s">
        <v>248</v>
      </c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5"/>
    </row>
    <row r="2" spans="1:23">
      <c r="A2" s="266" t="s">
        <v>252</v>
      </c>
      <c r="B2" s="258"/>
      <c r="C2" s="258"/>
      <c r="D2" s="258"/>
      <c r="E2" s="258"/>
      <c r="F2" s="258"/>
      <c r="G2" s="258"/>
      <c r="H2" s="258"/>
      <c r="I2" s="258"/>
      <c r="J2" s="268"/>
      <c r="K2" s="305" t="s">
        <v>249</v>
      </c>
      <c r="L2" s="319"/>
      <c r="M2" s="306"/>
      <c r="N2" s="316" t="s">
        <v>235</v>
      </c>
      <c r="O2" s="317"/>
      <c r="P2" s="317"/>
      <c r="Q2" s="317"/>
      <c r="R2" s="317"/>
      <c r="S2" s="317"/>
      <c r="T2" s="317"/>
      <c r="U2" s="317"/>
      <c r="V2" s="317"/>
      <c r="W2" s="318"/>
    </row>
    <row r="3" spans="1:23">
      <c r="A3" s="320" t="s">
        <v>124</v>
      </c>
      <c r="B3" s="321"/>
      <c r="C3" s="109" t="s">
        <v>229</v>
      </c>
      <c r="D3" s="109" t="s">
        <v>230</v>
      </c>
      <c r="E3" s="109" t="s">
        <v>104</v>
      </c>
      <c r="F3" s="109" t="s">
        <v>231</v>
      </c>
      <c r="G3" s="109" t="s">
        <v>232</v>
      </c>
      <c r="H3" s="109" t="s">
        <v>114</v>
      </c>
      <c r="I3" s="187" t="s">
        <v>234</v>
      </c>
      <c r="J3" s="188"/>
      <c r="K3" s="97" t="s">
        <v>46</v>
      </c>
      <c r="L3" s="115" t="s">
        <v>250</v>
      </c>
      <c r="M3" s="98" t="s">
        <v>233</v>
      </c>
      <c r="N3" s="269"/>
      <c r="O3" s="270"/>
      <c r="P3" s="270"/>
      <c r="Q3" s="270"/>
      <c r="R3" s="270"/>
      <c r="S3" s="270"/>
      <c r="T3" s="270"/>
      <c r="U3" s="270"/>
      <c r="V3" s="270"/>
      <c r="W3" s="212"/>
    </row>
    <row r="4" spans="1:23">
      <c r="A4" s="269"/>
      <c r="B4" s="259"/>
      <c r="C4" s="112"/>
      <c r="D4" s="112"/>
      <c r="E4" s="112"/>
      <c r="F4" s="112"/>
      <c r="G4" s="112"/>
      <c r="H4" s="112"/>
      <c r="I4" s="116">
        <v>0</v>
      </c>
      <c r="J4" s="15" t="s">
        <v>240</v>
      </c>
      <c r="K4" s="137">
        <v>0</v>
      </c>
      <c r="L4" s="46">
        <v>5</v>
      </c>
      <c r="M4" s="102">
        <v>15</v>
      </c>
      <c r="N4" s="171"/>
      <c r="O4" s="172"/>
      <c r="P4" s="172"/>
      <c r="Q4" s="172"/>
      <c r="R4" s="172"/>
      <c r="S4" s="172"/>
      <c r="T4" s="172"/>
      <c r="U4" s="172"/>
      <c r="V4" s="172"/>
      <c r="W4" s="173"/>
    </row>
    <row r="5" spans="1:23" ht="15" thickBot="1">
      <c r="A5" s="171"/>
      <c r="B5" s="224"/>
      <c r="C5" s="26"/>
      <c r="D5" s="26"/>
      <c r="E5" s="26"/>
      <c r="F5" s="26"/>
      <c r="G5" s="26"/>
      <c r="H5" s="26"/>
      <c r="I5" s="117">
        <v>0</v>
      </c>
      <c r="J5" s="15" t="s">
        <v>240</v>
      </c>
      <c r="K5" s="137">
        <v>1</v>
      </c>
      <c r="L5" s="46">
        <v>10</v>
      </c>
      <c r="M5" s="102">
        <v>16</v>
      </c>
      <c r="N5" s="290"/>
      <c r="O5" s="198"/>
      <c r="P5" s="198"/>
      <c r="Q5" s="198"/>
      <c r="R5" s="198"/>
      <c r="S5" s="198"/>
      <c r="T5" s="198"/>
      <c r="U5" s="198"/>
      <c r="V5" s="198"/>
      <c r="W5" s="199"/>
    </row>
    <row r="6" spans="1:23">
      <c r="A6" s="171"/>
      <c r="B6" s="224"/>
      <c r="C6" s="26"/>
      <c r="D6" s="26"/>
      <c r="E6" s="26"/>
      <c r="F6" s="26"/>
      <c r="G6" s="26"/>
      <c r="H6" s="26"/>
      <c r="I6" s="117">
        <v>0</v>
      </c>
      <c r="J6" s="15" t="s">
        <v>240</v>
      </c>
      <c r="K6" s="137">
        <v>2</v>
      </c>
      <c r="L6" s="46">
        <v>40</v>
      </c>
      <c r="M6" s="102">
        <v>17</v>
      </c>
      <c r="N6" s="316" t="s">
        <v>238</v>
      </c>
      <c r="O6" s="317"/>
      <c r="P6" s="317"/>
      <c r="Q6" s="317"/>
      <c r="R6" s="317"/>
      <c r="S6" s="317"/>
      <c r="T6" s="317"/>
      <c r="U6" s="317"/>
      <c r="V6" s="317"/>
      <c r="W6" s="318"/>
    </row>
    <row r="7" spans="1:23">
      <c r="A7" s="171"/>
      <c r="B7" s="224"/>
      <c r="C7" s="26"/>
      <c r="D7" s="26"/>
      <c r="E7" s="26"/>
      <c r="F7" s="26"/>
      <c r="G7" s="26"/>
      <c r="H7" s="26"/>
      <c r="I7" s="117">
        <v>0</v>
      </c>
      <c r="J7" s="15" t="s">
        <v>240</v>
      </c>
      <c r="K7" s="137">
        <v>3</v>
      </c>
      <c r="L7" s="46">
        <v>90</v>
      </c>
      <c r="M7" s="102">
        <v>18</v>
      </c>
      <c r="N7" s="171"/>
      <c r="O7" s="172"/>
      <c r="P7" s="172"/>
      <c r="Q7" s="172"/>
      <c r="R7" s="172"/>
      <c r="S7" s="172"/>
      <c r="T7" s="172"/>
      <c r="U7" s="172"/>
      <c r="V7" s="172"/>
      <c r="W7" s="173"/>
    </row>
    <row r="8" spans="1:23">
      <c r="A8" s="171"/>
      <c r="B8" s="224"/>
      <c r="C8" s="26"/>
      <c r="D8" s="26"/>
      <c r="E8" s="26"/>
      <c r="F8" s="26"/>
      <c r="G8" s="26"/>
      <c r="H8" s="26"/>
      <c r="I8" s="117">
        <v>0</v>
      </c>
      <c r="J8" s="15" t="s">
        <v>240</v>
      </c>
      <c r="K8" s="137">
        <v>4</v>
      </c>
      <c r="L8" s="46">
        <v>160</v>
      </c>
      <c r="M8" s="102">
        <v>19</v>
      </c>
      <c r="N8" s="171"/>
      <c r="O8" s="172"/>
      <c r="P8" s="172"/>
      <c r="Q8" s="172"/>
      <c r="R8" s="172"/>
      <c r="S8" s="172"/>
      <c r="T8" s="172"/>
      <c r="U8" s="172"/>
      <c r="V8" s="172"/>
      <c r="W8" s="173"/>
    </row>
    <row r="9" spans="1:23">
      <c r="A9" s="171"/>
      <c r="B9" s="224"/>
      <c r="C9" s="26"/>
      <c r="D9" s="26"/>
      <c r="E9" s="26"/>
      <c r="F9" s="26"/>
      <c r="G9" s="26"/>
      <c r="H9" s="26"/>
      <c r="I9" s="117">
        <v>0</v>
      </c>
      <c r="J9" s="15" t="s">
        <v>240</v>
      </c>
      <c r="K9" s="137">
        <v>5</v>
      </c>
      <c r="L9" s="46">
        <v>250</v>
      </c>
      <c r="M9" s="102">
        <v>20</v>
      </c>
      <c r="N9" s="171"/>
      <c r="O9" s="172"/>
      <c r="P9" s="172"/>
      <c r="Q9" s="172"/>
      <c r="R9" s="172"/>
      <c r="S9" s="172"/>
      <c r="T9" s="172"/>
      <c r="U9" s="172"/>
      <c r="V9" s="172"/>
      <c r="W9" s="173"/>
    </row>
    <row r="10" spans="1:23" ht="15" thickBot="1">
      <c r="A10" s="290"/>
      <c r="B10" s="322"/>
      <c r="C10" s="99"/>
      <c r="D10" s="99"/>
      <c r="E10" s="99"/>
      <c r="F10" s="99"/>
      <c r="G10" s="99"/>
      <c r="H10" s="99"/>
      <c r="I10" s="118">
        <v>0</v>
      </c>
      <c r="J10" s="15" t="s">
        <v>240</v>
      </c>
      <c r="K10" s="137">
        <v>6</v>
      </c>
      <c r="L10" s="46">
        <v>360</v>
      </c>
      <c r="M10" s="102">
        <v>21</v>
      </c>
      <c r="N10" s="171"/>
      <c r="O10" s="172"/>
      <c r="P10" s="172"/>
      <c r="Q10" s="172"/>
      <c r="R10" s="172"/>
      <c r="S10" s="172"/>
      <c r="T10" s="172"/>
      <c r="U10" s="172"/>
      <c r="V10" s="172"/>
      <c r="W10" s="173"/>
    </row>
    <row r="11" spans="1:23">
      <c r="A11" s="305" t="s">
        <v>235</v>
      </c>
      <c r="B11" s="319"/>
      <c r="C11" s="319"/>
      <c r="D11" s="319"/>
      <c r="E11" s="319"/>
      <c r="F11" s="319"/>
      <c r="G11" s="105" t="s">
        <v>233</v>
      </c>
      <c r="H11" s="68">
        <f>10+0+CastingStatMod</f>
        <v>11</v>
      </c>
      <c r="I11" s="327" t="s">
        <v>237</v>
      </c>
      <c r="J11" s="328"/>
      <c r="K11" s="137">
        <v>7</v>
      </c>
      <c r="L11" s="46">
        <v>490</v>
      </c>
      <c r="M11" s="102">
        <v>22</v>
      </c>
      <c r="N11" s="171"/>
      <c r="O11" s="172"/>
      <c r="P11" s="172"/>
      <c r="Q11" s="172"/>
      <c r="R11" s="172"/>
      <c r="S11" s="172"/>
      <c r="T11" s="172"/>
      <c r="U11" s="172"/>
      <c r="V11" s="172"/>
      <c r="W11" s="173"/>
    </row>
    <row r="12" spans="1:23">
      <c r="A12" s="108" t="s">
        <v>172</v>
      </c>
      <c r="B12" s="109" t="s">
        <v>124</v>
      </c>
      <c r="C12" s="109" t="s">
        <v>229</v>
      </c>
      <c r="D12" s="109" t="s">
        <v>230</v>
      </c>
      <c r="E12" s="109" t="s">
        <v>104</v>
      </c>
      <c r="F12" s="109" t="s">
        <v>231</v>
      </c>
      <c r="G12" s="109" t="s">
        <v>232</v>
      </c>
      <c r="H12" s="110" t="s">
        <v>114</v>
      </c>
      <c r="I12" s="325" t="s">
        <v>129</v>
      </c>
      <c r="J12" s="326"/>
      <c r="K12" s="137">
        <v>8</v>
      </c>
      <c r="L12" s="46">
        <v>620</v>
      </c>
      <c r="M12" s="102">
        <v>23</v>
      </c>
      <c r="N12" s="171"/>
      <c r="O12" s="172"/>
      <c r="P12" s="172"/>
      <c r="Q12" s="172"/>
      <c r="R12" s="172"/>
      <c r="S12" s="172"/>
      <c r="T12" s="172"/>
      <c r="U12" s="172"/>
      <c r="V12" s="172"/>
      <c r="W12" s="173"/>
    </row>
    <row r="13" spans="1:23" ht="15" thickBot="1">
      <c r="A13" s="111"/>
      <c r="B13" s="112"/>
      <c r="C13" s="112" t="s">
        <v>510</v>
      </c>
      <c r="D13" s="112"/>
      <c r="E13" s="112"/>
      <c r="F13" s="112"/>
      <c r="G13" s="112"/>
      <c r="H13" s="41"/>
      <c r="I13" s="329" t="s">
        <v>236</v>
      </c>
      <c r="J13" s="330"/>
      <c r="K13" s="138">
        <v>9</v>
      </c>
      <c r="L13" s="58">
        <v>810</v>
      </c>
      <c r="M13" s="102">
        <v>24</v>
      </c>
      <c r="N13" s="290"/>
      <c r="O13" s="198"/>
      <c r="P13" s="198"/>
      <c r="Q13" s="198"/>
      <c r="R13" s="198"/>
      <c r="S13" s="198"/>
      <c r="T13" s="198"/>
      <c r="U13" s="198"/>
      <c r="V13" s="198"/>
      <c r="W13" s="199"/>
    </row>
    <row r="14" spans="1:23" ht="15" thickBot="1">
      <c r="A14" s="113"/>
      <c r="B14" s="26"/>
      <c r="C14" s="26" t="s">
        <v>511</v>
      </c>
      <c r="D14" s="26"/>
      <c r="E14" s="26"/>
      <c r="F14" s="26"/>
      <c r="G14" s="26"/>
      <c r="H14" s="25"/>
      <c r="I14" s="314">
        <f>level+CastingStatMod</f>
        <v>2</v>
      </c>
      <c r="J14" s="315"/>
      <c r="K14" s="316" t="s">
        <v>239</v>
      </c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8"/>
    </row>
    <row r="15" spans="1:23">
      <c r="A15" s="113"/>
      <c r="B15" s="26"/>
      <c r="C15" s="26" t="s">
        <v>512</v>
      </c>
      <c r="D15" s="26"/>
      <c r="E15" s="26"/>
      <c r="F15" s="26"/>
      <c r="G15" s="26"/>
      <c r="H15" s="25"/>
      <c r="I15" s="316" t="s">
        <v>70</v>
      </c>
      <c r="J15" s="318"/>
      <c r="K15" s="311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3"/>
    </row>
    <row r="16" spans="1:23">
      <c r="A16" s="113"/>
      <c r="B16" s="26"/>
      <c r="C16" s="26" t="s">
        <v>513</v>
      </c>
      <c r="D16" s="26"/>
      <c r="E16" s="26"/>
      <c r="F16" s="26"/>
      <c r="G16" s="26"/>
      <c r="H16" s="25"/>
      <c r="I16" s="269"/>
      <c r="J16" s="212"/>
      <c r="K16" s="171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3"/>
    </row>
    <row r="17" spans="1:23">
      <c r="A17" s="113"/>
      <c r="B17" s="26"/>
      <c r="C17" s="26"/>
      <c r="D17" s="26"/>
      <c r="E17" s="26"/>
      <c r="F17" s="26"/>
      <c r="G17" s="26"/>
      <c r="H17" s="25"/>
      <c r="I17" s="171"/>
      <c r="J17" s="173"/>
      <c r="K17" s="171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3"/>
    </row>
    <row r="18" spans="1:23">
      <c r="A18" s="113"/>
      <c r="B18" s="26"/>
      <c r="C18" s="26"/>
      <c r="D18" s="26"/>
      <c r="E18" s="26"/>
      <c r="F18" s="26"/>
      <c r="G18" s="26"/>
      <c r="H18" s="25"/>
      <c r="I18" s="171"/>
      <c r="J18" s="173"/>
      <c r="K18" s="171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3"/>
    </row>
    <row r="19" spans="1:23" ht="15" thickBot="1">
      <c r="A19" s="113"/>
      <c r="B19" s="26"/>
      <c r="C19" s="26"/>
      <c r="D19" s="26"/>
      <c r="E19" s="26"/>
      <c r="F19" s="26"/>
      <c r="G19" s="26"/>
      <c r="H19" s="25"/>
      <c r="I19" s="171"/>
      <c r="J19" s="173"/>
      <c r="K19" s="171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3"/>
    </row>
    <row r="20" spans="1:23">
      <c r="A20" s="113"/>
      <c r="B20" s="26"/>
      <c r="C20" s="26"/>
      <c r="D20" s="26"/>
      <c r="E20" s="26"/>
      <c r="F20" s="26"/>
      <c r="G20" s="26"/>
      <c r="H20" s="25"/>
      <c r="I20" s="171"/>
      <c r="J20" s="173"/>
      <c r="K20" s="316" t="s">
        <v>241</v>
      </c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8"/>
    </row>
    <row r="21" spans="1:23">
      <c r="A21" s="113"/>
      <c r="B21" s="26"/>
      <c r="C21" s="26"/>
      <c r="D21" s="26"/>
      <c r="E21" s="26"/>
      <c r="F21" s="26"/>
      <c r="G21" s="26"/>
      <c r="H21" s="25"/>
      <c r="I21" s="171"/>
      <c r="J21" s="173"/>
      <c r="K21" s="311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3"/>
    </row>
    <row r="22" spans="1:23" ht="15" thickBot="1">
      <c r="A22" s="114"/>
      <c r="B22" s="99"/>
      <c r="C22" s="99"/>
      <c r="D22" s="99"/>
      <c r="E22" s="99"/>
      <c r="F22" s="99"/>
      <c r="G22" s="99"/>
      <c r="H22" s="100"/>
      <c r="I22" s="171"/>
      <c r="J22" s="173"/>
      <c r="K22" s="171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3"/>
    </row>
    <row r="23" spans="1:23">
      <c r="A23" s="305" t="s">
        <v>238</v>
      </c>
      <c r="B23" s="319"/>
      <c r="C23" s="319"/>
      <c r="D23" s="319"/>
      <c r="E23" s="319"/>
      <c r="F23" s="319"/>
      <c r="G23" s="105" t="s">
        <v>233</v>
      </c>
      <c r="H23" s="68">
        <f>10+1+CastingStatMod</f>
        <v>12</v>
      </c>
      <c r="I23" s="309" t="s">
        <v>234</v>
      </c>
      <c r="J23" s="310"/>
      <c r="K23" s="171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3"/>
    </row>
    <row r="24" spans="1:23" ht="15" thickBot="1">
      <c r="A24" s="108" t="s">
        <v>172</v>
      </c>
      <c r="B24" s="109" t="s">
        <v>124</v>
      </c>
      <c r="C24" s="109" t="s">
        <v>229</v>
      </c>
      <c r="D24" s="109" t="s">
        <v>230</v>
      </c>
      <c r="E24" s="109" t="s">
        <v>104</v>
      </c>
      <c r="F24" s="109" t="s">
        <v>231</v>
      </c>
      <c r="G24" s="109" t="s">
        <v>232</v>
      </c>
      <c r="H24" s="110" t="s">
        <v>114</v>
      </c>
      <c r="I24" s="119"/>
      <c r="J24" s="86" t="s">
        <v>487</v>
      </c>
      <c r="K24" s="171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3"/>
    </row>
    <row r="25" spans="1:23" ht="15" thickBot="1">
      <c r="A25" s="111"/>
      <c r="B25" s="112"/>
      <c r="C25" s="112" t="s">
        <v>514</v>
      </c>
      <c r="D25" s="112"/>
      <c r="E25" s="112"/>
      <c r="F25" s="112"/>
      <c r="G25" s="112"/>
      <c r="H25" s="41"/>
      <c r="I25" s="316" t="s">
        <v>70</v>
      </c>
      <c r="J25" s="318"/>
      <c r="K25" s="290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9"/>
    </row>
    <row r="26" spans="1:23">
      <c r="A26" s="113"/>
      <c r="B26" s="26"/>
      <c r="C26" s="26" t="s">
        <v>515</v>
      </c>
      <c r="D26" s="26"/>
      <c r="E26" s="26"/>
      <c r="F26" s="26"/>
      <c r="G26" s="26"/>
      <c r="H26" s="25"/>
      <c r="I26" s="307"/>
      <c r="J26" s="308"/>
      <c r="K26" s="316" t="s">
        <v>242</v>
      </c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8"/>
    </row>
    <row r="27" spans="1:23">
      <c r="A27" s="113"/>
      <c r="B27" s="26"/>
      <c r="C27" s="26">
        <v>3</v>
      </c>
      <c r="D27" s="26"/>
      <c r="E27" s="26"/>
      <c r="F27" s="26"/>
      <c r="G27" s="26"/>
      <c r="H27" s="25"/>
      <c r="I27" s="266"/>
      <c r="J27" s="268"/>
      <c r="K27" s="311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3"/>
    </row>
    <row r="28" spans="1:23">
      <c r="A28" s="113"/>
      <c r="B28" s="26"/>
      <c r="C28" s="26">
        <v>4</v>
      </c>
      <c r="D28" s="26"/>
      <c r="E28" s="26"/>
      <c r="F28" s="26"/>
      <c r="G28" s="26"/>
      <c r="H28" s="25"/>
      <c r="I28" s="171"/>
      <c r="J28" s="173"/>
      <c r="K28" s="171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3"/>
    </row>
    <row r="29" spans="1:23">
      <c r="A29" s="113"/>
      <c r="B29" s="26"/>
      <c r="C29" s="26"/>
      <c r="D29" s="26"/>
      <c r="E29" s="26"/>
      <c r="F29" s="26"/>
      <c r="G29" s="26"/>
      <c r="H29" s="25"/>
      <c r="I29" s="171"/>
      <c r="J29" s="173"/>
      <c r="K29" s="171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3"/>
    </row>
    <row r="30" spans="1:23">
      <c r="A30" s="113"/>
      <c r="B30" s="26"/>
      <c r="C30" s="26"/>
      <c r="D30" s="26"/>
      <c r="E30" s="26"/>
      <c r="F30" s="26"/>
      <c r="G30" s="26"/>
      <c r="H30" s="25"/>
      <c r="I30" s="171"/>
      <c r="J30" s="173"/>
      <c r="K30" s="171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3"/>
    </row>
    <row r="31" spans="1:23" ht="15" thickBot="1">
      <c r="A31" s="113"/>
      <c r="B31" s="26"/>
      <c r="C31" s="26"/>
      <c r="D31" s="26"/>
      <c r="E31" s="26"/>
      <c r="F31" s="26"/>
      <c r="G31" s="26"/>
      <c r="H31" s="25"/>
      <c r="I31" s="171"/>
      <c r="J31" s="173"/>
      <c r="K31" s="290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9"/>
    </row>
    <row r="32" spans="1:23">
      <c r="A32" s="113"/>
      <c r="B32" s="26"/>
      <c r="C32" s="26"/>
      <c r="D32" s="26"/>
      <c r="E32" s="26"/>
      <c r="F32" s="26"/>
      <c r="G32" s="26"/>
      <c r="H32" s="25"/>
      <c r="I32" s="171"/>
      <c r="J32" s="173"/>
      <c r="K32" s="316" t="s">
        <v>243</v>
      </c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8"/>
    </row>
    <row r="33" spans="1:23">
      <c r="A33" s="113"/>
      <c r="B33" s="26"/>
      <c r="C33" s="26"/>
      <c r="D33" s="26"/>
      <c r="E33" s="26"/>
      <c r="F33" s="26"/>
      <c r="G33" s="26"/>
      <c r="H33" s="25"/>
      <c r="I33" s="171"/>
      <c r="J33" s="173"/>
      <c r="K33" s="311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3"/>
    </row>
    <row r="34" spans="1:23">
      <c r="A34" s="113"/>
      <c r="B34" s="26"/>
      <c r="C34" s="26"/>
      <c r="D34" s="26"/>
      <c r="E34" s="26"/>
      <c r="F34" s="26"/>
      <c r="G34" s="26"/>
      <c r="H34" s="25"/>
      <c r="I34" s="171"/>
      <c r="J34" s="173"/>
      <c r="K34" s="171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3"/>
    </row>
    <row r="35" spans="1:23" ht="15" thickBot="1">
      <c r="A35" s="114"/>
      <c r="B35" s="99"/>
      <c r="C35" s="99"/>
      <c r="D35" s="99"/>
      <c r="E35" s="99"/>
      <c r="F35" s="99"/>
      <c r="G35" s="99"/>
      <c r="H35" s="100"/>
      <c r="I35" s="290"/>
      <c r="J35" s="199"/>
      <c r="K35" s="171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3"/>
    </row>
    <row r="36" spans="1:23">
      <c r="A36" s="305" t="s">
        <v>239</v>
      </c>
      <c r="B36" s="319"/>
      <c r="C36" s="319"/>
      <c r="D36" s="319"/>
      <c r="E36" s="319"/>
      <c r="F36" s="319"/>
      <c r="G36" s="105" t="s">
        <v>233</v>
      </c>
      <c r="H36" s="68">
        <f>10+2+CastingStatMod</f>
        <v>13</v>
      </c>
      <c r="I36" s="309" t="s">
        <v>234</v>
      </c>
      <c r="J36" s="310"/>
      <c r="K36" s="171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3"/>
    </row>
    <row r="37" spans="1:23" ht="15" thickBot="1">
      <c r="A37" s="108" t="s">
        <v>172</v>
      </c>
      <c r="B37" s="109" t="s">
        <v>124</v>
      </c>
      <c r="C37" s="109" t="s">
        <v>229</v>
      </c>
      <c r="D37" s="109" t="s">
        <v>230</v>
      </c>
      <c r="E37" s="109" t="s">
        <v>104</v>
      </c>
      <c r="F37" s="109" t="s">
        <v>231</v>
      </c>
      <c r="G37" s="109" t="s">
        <v>232</v>
      </c>
      <c r="H37" s="110" t="s">
        <v>114</v>
      </c>
      <c r="I37" s="119">
        <v>0</v>
      </c>
      <c r="J37" s="86" t="s">
        <v>240</v>
      </c>
      <c r="K37" s="290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9"/>
    </row>
    <row r="38" spans="1:23">
      <c r="A38" s="111"/>
      <c r="B38" s="112"/>
      <c r="C38" s="112" t="s">
        <v>516</v>
      </c>
      <c r="D38" s="112"/>
      <c r="E38" s="112"/>
      <c r="F38" s="112"/>
      <c r="G38" s="112"/>
      <c r="H38" s="41"/>
      <c r="I38" s="316" t="s">
        <v>70</v>
      </c>
      <c r="J38" s="318"/>
      <c r="K38" s="316" t="s">
        <v>244</v>
      </c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8"/>
    </row>
    <row r="39" spans="1:23">
      <c r="A39" s="113"/>
      <c r="B39" s="26"/>
      <c r="C39" s="26" t="s">
        <v>517</v>
      </c>
      <c r="D39" s="26"/>
      <c r="E39" s="26"/>
      <c r="F39" s="26"/>
      <c r="G39" s="26"/>
      <c r="H39" s="25"/>
      <c r="I39" s="307"/>
      <c r="J39" s="308"/>
      <c r="K39" s="311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3"/>
    </row>
    <row r="40" spans="1:23">
      <c r="A40" s="113"/>
      <c r="B40" s="26"/>
      <c r="C40" s="26">
        <v>3</v>
      </c>
      <c r="D40" s="26"/>
      <c r="E40" s="26"/>
      <c r="F40" s="26"/>
      <c r="G40" s="26"/>
      <c r="H40" s="25"/>
      <c r="I40" s="266"/>
      <c r="J40" s="268"/>
      <c r="K40" s="171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3"/>
    </row>
    <row r="41" spans="1:23">
      <c r="A41" s="113"/>
      <c r="B41" s="26"/>
      <c r="C41" s="26">
        <v>4</v>
      </c>
      <c r="D41" s="26"/>
      <c r="E41" s="26"/>
      <c r="F41" s="26"/>
      <c r="G41" s="26"/>
      <c r="H41" s="25"/>
      <c r="I41" s="171"/>
      <c r="J41" s="173"/>
      <c r="K41" s="171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3"/>
    </row>
    <row r="42" spans="1:23">
      <c r="A42" s="113"/>
      <c r="B42" s="26"/>
      <c r="C42" s="26"/>
      <c r="D42" s="26"/>
      <c r="E42" s="26"/>
      <c r="F42" s="26"/>
      <c r="G42" s="26"/>
      <c r="H42" s="25"/>
      <c r="I42" s="323"/>
      <c r="J42" s="324"/>
      <c r="K42" s="171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3"/>
    </row>
    <row r="43" spans="1:23" ht="15" thickBot="1">
      <c r="A43" s="113"/>
      <c r="B43" s="26"/>
      <c r="C43" s="26"/>
      <c r="D43" s="26"/>
      <c r="E43" s="26"/>
      <c r="F43" s="26"/>
      <c r="G43" s="26"/>
      <c r="H43" s="25"/>
      <c r="I43" s="171"/>
      <c r="J43" s="173"/>
      <c r="K43" s="290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9"/>
    </row>
    <row r="44" spans="1:23">
      <c r="A44" s="113"/>
      <c r="B44" s="26"/>
      <c r="C44" s="26"/>
      <c r="D44" s="26"/>
      <c r="E44" s="26"/>
      <c r="F44" s="26"/>
      <c r="G44" s="26"/>
      <c r="H44" s="25"/>
      <c r="I44" s="171"/>
      <c r="J44" s="173"/>
      <c r="K44" s="316" t="s">
        <v>245</v>
      </c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8"/>
    </row>
    <row r="45" spans="1:23">
      <c r="A45" s="113"/>
      <c r="B45" s="26"/>
      <c r="C45" s="26"/>
      <c r="D45" s="26"/>
      <c r="E45" s="26"/>
      <c r="F45" s="26"/>
      <c r="G45" s="26"/>
      <c r="H45" s="25"/>
      <c r="I45" s="171"/>
      <c r="J45" s="173"/>
      <c r="K45" s="311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3"/>
    </row>
    <row r="46" spans="1:23">
      <c r="A46" s="113"/>
      <c r="B46" s="26"/>
      <c r="C46" s="26"/>
      <c r="D46" s="26"/>
      <c r="E46" s="26"/>
      <c r="F46" s="26"/>
      <c r="G46" s="26"/>
      <c r="H46" s="25"/>
      <c r="I46" s="171"/>
      <c r="J46" s="173"/>
      <c r="K46" s="171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3"/>
    </row>
    <row r="47" spans="1:23">
      <c r="A47" s="113"/>
      <c r="B47" s="26"/>
      <c r="C47" s="26"/>
      <c r="D47" s="26"/>
      <c r="E47" s="26"/>
      <c r="F47" s="26"/>
      <c r="G47" s="26"/>
      <c r="H47" s="25"/>
      <c r="I47" s="171"/>
      <c r="J47" s="173"/>
      <c r="K47" s="171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3"/>
    </row>
    <row r="48" spans="1:23" ht="15" thickBot="1">
      <c r="A48" s="114"/>
      <c r="B48" s="99"/>
      <c r="C48" s="99"/>
      <c r="D48" s="99"/>
      <c r="E48" s="99"/>
      <c r="F48" s="99"/>
      <c r="G48" s="99"/>
      <c r="H48" s="100"/>
      <c r="I48" s="290"/>
      <c r="J48" s="199"/>
      <c r="K48" s="171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3"/>
    </row>
    <row r="49" spans="1:23" ht="15" thickBot="1">
      <c r="A49" s="305" t="s">
        <v>241</v>
      </c>
      <c r="B49" s="319"/>
      <c r="C49" s="319"/>
      <c r="D49" s="319"/>
      <c r="E49" s="319"/>
      <c r="F49" s="319"/>
      <c r="G49" s="105" t="s">
        <v>233</v>
      </c>
      <c r="H49" s="68">
        <f>10+3+CastingStatMod</f>
        <v>14</v>
      </c>
      <c r="I49" s="309" t="s">
        <v>234</v>
      </c>
      <c r="J49" s="310"/>
      <c r="K49" s="290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9"/>
    </row>
    <row r="50" spans="1:23" ht="15" thickBot="1">
      <c r="A50" s="108" t="s">
        <v>172</v>
      </c>
      <c r="B50" s="109" t="s">
        <v>124</v>
      </c>
      <c r="C50" s="109" t="s">
        <v>229</v>
      </c>
      <c r="D50" s="109" t="s">
        <v>230</v>
      </c>
      <c r="E50" s="109" t="s">
        <v>104</v>
      </c>
      <c r="F50" s="109" t="s">
        <v>231</v>
      </c>
      <c r="G50" s="109" t="s">
        <v>232</v>
      </c>
      <c r="H50" s="110" t="s">
        <v>114</v>
      </c>
      <c r="I50" s="120">
        <v>0</v>
      </c>
      <c r="J50" s="121" t="s">
        <v>240</v>
      </c>
      <c r="K50" s="316" t="s">
        <v>246</v>
      </c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8"/>
    </row>
    <row r="51" spans="1:23">
      <c r="A51" s="111"/>
      <c r="B51" s="112"/>
      <c r="C51" s="112" t="s">
        <v>143</v>
      </c>
      <c r="D51" s="112"/>
      <c r="E51" s="112"/>
      <c r="F51" s="112"/>
      <c r="G51" s="112"/>
      <c r="H51" s="41"/>
      <c r="I51" s="316" t="s">
        <v>70</v>
      </c>
      <c r="J51" s="318"/>
      <c r="K51" s="311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3"/>
    </row>
    <row r="52" spans="1:23">
      <c r="A52" s="113"/>
      <c r="B52" s="26"/>
      <c r="C52" s="26" t="s">
        <v>518</v>
      </c>
      <c r="D52" s="26"/>
      <c r="E52" s="26"/>
      <c r="F52" s="26"/>
      <c r="G52" s="26"/>
      <c r="H52" s="25"/>
      <c r="I52" s="307"/>
      <c r="J52" s="308"/>
      <c r="K52" s="171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3"/>
    </row>
    <row r="53" spans="1:23">
      <c r="A53" s="113"/>
      <c r="B53" s="26"/>
      <c r="C53" s="26">
        <v>3</v>
      </c>
      <c r="D53" s="26"/>
      <c r="E53" s="26"/>
      <c r="F53" s="26"/>
      <c r="G53" s="26"/>
      <c r="H53" s="25"/>
      <c r="I53" s="266"/>
      <c r="J53" s="268"/>
      <c r="K53" s="171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3"/>
    </row>
    <row r="54" spans="1:23">
      <c r="A54" s="113"/>
      <c r="B54" s="26"/>
      <c r="C54" s="26"/>
      <c r="D54" s="26"/>
      <c r="E54" s="26"/>
      <c r="F54" s="26"/>
      <c r="G54" s="26"/>
      <c r="H54" s="25"/>
      <c r="I54" s="171"/>
      <c r="J54" s="173"/>
      <c r="K54" s="171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3"/>
    </row>
    <row r="55" spans="1:23" ht="15" thickBot="1">
      <c r="A55" s="113"/>
      <c r="B55" s="26"/>
      <c r="C55" s="26"/>
      <c r="D55" s="26"/>
      <c r="E55" s="26"/>
      <c r="F55" s="26"/>
      <c r="G55" s="26"/>
      <c r="H55" s="25"/>
      <c r="I55" s="323"/>
      <c r="J55" s="324"/>
      <c r="K55" s="290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9"/>
    </row>
    <row r="56" spans="1:23">
      <c r="A56" s="113"/>
      <c r="B56" s="26"/>
      <c r="C56" s="26"/>
      <c r="D56" s="26"/>
      <c r="E56" s="26"/>
      <c r="F56" s="26"/>
      <c r="G56" s="26"/>
      <c r="H56" s="25"/>
      <c r="I56" s="171"/>
      <c r="J56" s="173"/>
      <c r="K56" s="316" t="s">
        <v>247</v>
      </c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8"/>
    </row>
    <row r="57" spans="1:23">
      <c r="A57" s="113"/>
      <c r="B57" s="26"/>
      <c r="C57" s="26"/>
      <c r="D57" s="26"/>
      <c r="E57" s="26"/>
      <c r="F57" s="26"/>
      <c r="G57" s="26"/>
      <c r="H57" s="25"/>
      <c r="I57" s="171"/>
      <c r="J57" s="173"/>
      <c r="K57" s="311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3"/>
    </row>
    <row r="58" spans="1:23">
      <c r="A58" s="113"/>
      <c r="B58" s="26"/>
      <c r="C58" s="26"/>
      <c r="D58" s="26"/>
      <c r="E58" s="26"/>
      <c r="F58" s="26"/>
      <c r="G58" s="26"/>
      <c r="H58" s="25"/>
      <c r="I58" s="171"/>
      <c r="J58" s="173"/>
      <c r="K58" s="171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3"/>
    </row>
    <row r="59" spans="1:23">
      <c r="A59" s="113"/>
      <c r="B59" s="26"/>
      <c r="C59" s="26"/>
      <c r="D59" s="26"/>
      <c r="E59" s="26"/>
      <c r="F59" s="26"/>
      <c r="G59" s="26"/>
      <c r="H59" s="25"/>
      <c r="I59" s="171"/>
      <c r="J59" s="173"/>
      <c r="K59" s="171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3"/>
    </row>
    <row r="60" spans="1:23">
      <c r="A60" s="113"/>
      <c r="B60" s="26"/>
      <c r="C60" s="26"/>
      <c r="D60" s="26"/>
      <c r="E60" s="26"/>
      <c r="F60" s="26"/>
      <c r="G60" s="26"/>
      <c r="H60" s="25"/>
      <c r="I60" s="171"/>
      <c r="J60" s="173"/>
      <c r="K60" s="171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3"/>
    </row>
    <row r="61" spans="1:23" ht="15" thickBot="1">
      <c r="A61" s="114"/>
      <c r="B61" s="99"/>
      <c r="C61" s="99"/>
      <c r="D61" s="99"/>
      <c r="E61" s="99"/>
      <c r="F61" s="99"/>
      <c r="G61" s="99"/>
      <c r="H61" s="100"/>
      <c r="I61" s="290"/>
      <c r="J61" s="199"/>
      <c r="K61" s="290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9"/>
    </row>
    <row r="62" spans="1:23">
      <c r="A62" s="305" t="s">
        <v>242</v>
      </c>
      <c r="B62" s="319" t="s">
        <v>242</v>
      </c>
      <c r="C62" s="319"/>
      <c r="D62" s="319"/>
      <c r="E62" s="319"/>
      <c r="F62" s="319"/>
      <c r="G62" s="105" t="s">
        <v>233</v>
      </c>
      <c r="H62" s="68">
        <f>10+4+CastingStatMod</f>
        <v>15</v>
      </c>
      <c r="I62" s="305" t="s">
        <v>234</v>
      </c>
      <c r="J62" s="306"/>
    </row>
    <row r="63" spans="1:23" ht="15" thickBot="1">
      <c r="A63" s="108" t="s">
        <v>172</v>
      </c>
      <c r="B63" s="109" t="s">
        <v>124</v>
      </c>
      <c r="C63" s="109" t="s">
        <v>229</v>
      </c>
      <c r="D63" s="109" t="s">
        <v>230</v>
      </c>
      <c r="E63" s="109" t="s">
        <v>104</v>
      </c>
      <c r="F63" s="109" t="s">
        <v>231</v>
      </c>
      <c r="G63" s="109" t="s">
        <v>232</v>
      </c>
      <c r="H63" s="110" t="s">
        <v>114</v>
      </c>
      <c r="I63" s="53">
        <v>0</v>
      </c>
      <c r="J63" s="15" t="s">
        <v>240</v>
      </c>
    </row>
    <row r="64" spans="1:23">
      <c r="A64" s="111"/>
      <c r="B64" s="112"/>
      <c r="C64" s="112"/>
      <c r="D64" s="112"/>
      <c r="E64" s="112"/>
      <c r="F64" s="112"/>
      <c r="G64" s="112"/>
      <c r="H64" s="41"/>
      <c r="I64" s="316" t="s">
        <v>70</v>
      </c>
      <c r="J64" s="318"/>
    </row>
    <row r="65" spans="1:10">
      <c r="A65" s="113"/>
      <c r="B65" s="26"/>
      <c r="C65" s="26"/>
      <c r="D65" s="26"/>
      <c r="E65" s="26"/>
      <c r="F65" s="26"/>
      <c r="G65" s="26"/>
      <c r="H65" s="25"/>
      <c r="I65" s="269"/>
      <c r="J65" s="212"/>
    </row>
    <row r="66" spans="1:10">
      <c r="A66" s="113"/>
      <c r="B66" s="26"/>
      <c r="C66" s="26"/>
      <c r="D66" s="26"/>
      <c r="E66" s="26"/>
      <c r="F66" s="26"/>
      <c r="G66" s="26"/>
      <c r="H66" s="25"/>
      <c r="I66" s="171"/>
      <c r="J66" s="173"/>
    </row>
    <row r="67" spans="1:10">
      <c r="A67" s="113"/>
      <c r="B67" s="26"/>
      <c r="C67" s="26"/>
      <c r="D67" s="26"/>
      <c r="E67" s="26"/>
      <c r="F67" s="26"/>
      <c r="G67" s="26"/>
      <c r="H67" s="25"/>
      <c r="I67" s="171"/>
      <c r="J67" s="173"/>
    </row>
    <row r="68" spans="1:10">
      <c r="A68" s="113"/>
      <c r="B68" s="26"/>
      <c r="C68" s="26"/>
      <c r="D68" s="26"/>
      <c r="E68" s="26"/>
      <c r="F68" s="26"/>
      <c r="G68" s="26"/>
      <c r="H68" s="25"/>
      <c r="I68" s="171"/>
      <c r="J68" s="173"/>
    </row>
    <row r="69" spans="1:10">
      <c r="A69" s="113"/>
      <c r="B69" s="26"/>
      <c r="C69" s="26"/>
      <c r="D69" s="26"/>
      <c r="E69" s="26"/>
      <c r="F69" s="26"/>
      <c r="G69" s="26"/>
      <c r="H69" s="25"/>
      <c r="I69" s="171"/>
      <c r="J69" s="173"/>
    </row>
    <row r="70" spans="1:10">
      <c r="A70" s="113"/>
      <c r="B70" s="26"/>
      <c r="C70" s="26"/>
      <c r="D70" s="26"/>
      <c r="E70" s="26"/>
      <c r="F70" s="26"/>
      <c r="G70" s="26"/>
      <c r="H70" s="25"/>
      <c r="I70" s="171"/>
      <c r="J70" s="173"/>
    </row>
    <row r="71" spans="1:10">
      <c r="A71" s="113"/>
      <c r="B71" s="26"/>
      <c r="C71" s="26"/>
      <c r="D71" s="26"/>
      <c r="E71" s="26"/>
      <c r="F71" s="26"/>
      <c r="G71" s="26"/>
      <c r="H71" s="25"/>
      <c r="I71" s="171"/>
      <c r="J71" s="173"/>
    </row>
    <row r="72" spans="1:10" ht="15" thickBot="1">
      <c r="A72" s="114"/>
      <c r="B72" s="99"/>
      <c r="C72" s="99"/>
      <c r="D72" s="99"/>
      <c r="E72" s="99"/>
      <c r="F72" s="99"/>
      <c r="G72" s="99"/>
      <c r="H72" s="100"/>
      <c r="I72" s="290"/>
      <c r="J72" s="199"/>
    </row>
    <row r="73" spans="1:10">
      <c r="A73" s="305" t="s">
        <v>243</v>
      </c>
      <c r="B73" s="319" t="s">
        <v>243</v>
      </c>
      <c r="C73" s="319"/>
      <c r="D73" s="319"/>
      <c r="E73" s="319"/>
      <c r="F73" s="319"/>
      <c r="G73" s="105" t="s">
        <v>233</v>
      </c>
      <c r="H73" s="68">
        <f>10+5+CastingStatMod</f>
        <v>16</v>
      </c>
      <c r="I73" s="305" t="s">
        <v>234</v>
      </c>
      <c r="J73" s="306"/>
    </row>
    <row r="74" spans="1:10" ht="15" thickBot="1">
      <c r="A74" s="108" t="s">
        <v>172</v>
      </c>
      <c r="B74" s="109" t="s">
        <v>124</v>
      </c>
      <c r="C74" s="109" t="s">
        <v>229</v>
      </c>
      <c r="D74" s="109" t="s">
        <v>230</v>
      </c>
      <c r="E74" s="109" t="s">
        <v>104</v>
      </c>
      <c r="F74" s="109" t="s">
        <v>231</v>
      </c>
      <c r="G74" s="109" t="s">
        <v>232</v>
      </c>
      <c r="H74" s="110" t="s">
        <v>114</v>
      </c>
      <c r="I74" s="53">
        <v>0</v>
      </c>
      <c r="J74" s="15" t="s">
        <v>240</v>
      </c>
    </row>
    <row r="75" spans="1:10">
      <c r="A75" s="111"/>
      <c r="B75" s="112"/>
      <c r="C75" s="112"/>
      <c r="D75" s="112"/>
      <c r="E75" s="112"/>
      <c r="F75" s="112"/>
      <c r="G75" s="112"/>
      <c r="H75" s="41"/>
      <c r="I75" s="316" t="s">
        <v>70</v>
      </c>
      <c r="J75" s="318"/>
    </row>
    <row r="76" spans="1:10">
      <c r="A76" s="113"/>
      <c r="B76" s="26"/>
      <c r="C76" s="26"/>
      <c r="D76" s="26"/>
      <c r="E76" s="26"/>
      <c r="F76" s="26"/>
      <c r="G76" s="26"/>
      <c r="H76" s="25"/>
      <c r="I76" s="269"/>
      <c r="J76" s="212"/>
    </row>
    <row r="77" spans="1:10">
      <c r="A77" s="113"/>
      <c r="B77" s="26"/>
      <c r="C77" s="26"/>
      <c r="D77" s="26"/>
      <c r="E77" s="26"/>
      <c r="F77" s="26"/>
      <c r="G77" s="26"/>
      <c r="H77" s="25"/>
      <c r="I77" s="171"/>
      <c r="J77" s="173"/>
    </row>
    <row r="78" spans="1:10">
      <c r="A78" s="113"/>
      <c r="B78" s="26"/>
      <c r="C78" s="26"/>
      <c r="D78" s="26"/>
      <c r="E78" s="26"/>
      <c r="F78" s="26"/>
      <c r="G78" s="26"/>
      <c r="H78" s="25"/>
      <c r="I78" s="171"/>
      <c r="J78" s="173"/>
    </row>
    <row r="79" spans="1:10">
      <c r="A79" s="113"/>
      <c r="B79" s="26"/>
      <c r="C79" s="26"/>
      <c r="D79" s="26"/>
      <c r="E79" s="26"/>
      <c r="F79" s="26"/>
      <c r="G79" s="26"/>
      <c r="H79" s="25"/>
      <c r="I79" s="171"/>
      <c r="J79" s="173"/>
    </row>
    <row r="80" spans="1:10">
      <c r="A80" s="113"/>
      <c r="B80" s="26"/>
      <c r="C80" s="26"/>
      <c r="D80" s="26"/>
      <c r="E80" s="26"/>
      <c r="F80" s="26"/>
      <c r="G80" s="26"/>
      <c r="H80" s="25"/>
      <c r="I80" s="171"/>
      <c r="J80" s="173"/>
    </row>
    <row r="81" spans="1:10">
      <c r="A81" s="113"/>
      <c r="B81" s="26"/>
      <c r="C81" s="26"/>
      <c r="D81" s="26"/>
      <c r="E81" s="26"/>
      <c r="F81" s="26"/>
      <c r="G81" s="26"/>
      <c r="H81" s="25"/>
      <c r="I81" s="171"/>
      <c r="J81" s="173"/>
    </row>
    <row r="82" spans="1:10">
      <c r="A82" s="113"/>
      <c r="B82" s="26"/>
      <c r="C82" s="26"/>
      <c r="D82" s="26"/>
      <c r="E82" s="26"/>
      <c r="F82" s="26"/>
      <c r="G82" s="26"/>
      <c r="H82" s="25"/>
      <c r="I82" s="171"/>
      <c r="J82" s="173"/>
    </row>
    <row r="83" spans="1:10" ht="15" thickBot="1">
      <c r="A83" s="114"/>
      <c r="B83" s="99"/>
      <c r="C83" s="99"/>
      <c r="D83" s="99"/>
      <c r="E83" s="99"/>
      <c r="F83" s="99"/>
      <c r="G83" s="99"/>
      <c r="H83" s="100"/>
      <c r="I83" s="290"/>
      <c r="J83" s="199"/>
    </row>
    <row r="84" spans="1:10">
      <c r="A84" s="305" t="s">
        <v>244</v>
      </c>
      <c r="B84" s="319" t="s">
        <v>244</v>
      </c>
      <c r="C84" s="319"/>
      <c r="D84" s="319"/>
      <c r="E84" s="319"/>
      <c r="F84" s="319"/>
      <c r="G84" s="105" t="s">
        <v>233</v>
      </c>
      <c r="H84" s="68">
        <f>10+6+CastingStatMod</f>
        <v>17</v>
      </c>
      <c r="I84" s="305" t="s">
        <v>234</v>
      </c>
      <c r="J84" s="306"/>
    </row>
    <row r="85" spans="1:10" ht="15" thickBot="1">
      <c r="A85" s="108" t="s">
        <v>172</v>
      </c>
      <c r="B85" s="109" t="s">
        <v>124</v>
      </c>
      <c r="C85" s="109" t="s">
        <v>229</v>
      </c>
      <c r="D85" s="109" t="s">
        <v>230</v>
      </c>
      <c r="E85" s="109" t="s">
        <v>104</v>
      </c>
      <c r="F85" s="109" t="s">
        <v>231</v>
      </c>
      <c r="G85" s="109" t="s">
        <v>232</v>
      </c>
      <c r="H85" s="110" t="s">
        <v>114</v>
      </c>
      <c r="I85" s="53">
        <v>0</v>
      </c>
      <c r="J85" s="15" t="s">
        <v>240</v>
      </c>
    </row>
    <row r="86" spans="1:10">
      <c r="A86" s="111"/>
      <c r="B86" s="112"/>
      <c r="C86" s="112"/>
      <c r="D86" s="112"/>
      <c r="E86" s="112"/>
      <c r="F86" s="112"/>
      <c r="G86" s="112"/>
      <c r="H86" s="41"/>
      <c r="I86" s="316" t="s">
        <v>70</v>
      </c>
      <c r="J86" s="318"/>
    </row>
    <row r="87" spans="1:10">
      <c r="A87" s="113"/>
      <c r="B87" s="26"/>
      <c r="C87" s="26"/>
      <c r="D87" s="26"/>
      <c r="E87" s="26"/>
      <c r="F87" s="26"/>
      <c r="G87" s="26"/>
      <c r="H87" s="25"/>
      <c r="I87" s="269"/>
      <c r="J87" s="212"/>
    </row>
    <row r="88" spans="1:10">
      <c r="A88" s="113"/>
      <c r="B88" s="26"/>
      <c r="C88" s="26"/>
      <c r="D88" s="26"/>
      <c r="E88" s="26"/>
      <c r="F88" s="26"/>
      <c r="G88" s="26"/>
      <c r="H88" s="25"/>
      <c r="I88" s="171"/>
      <c r="J88" s="173"/>
    </row>
    <row r="89" spans="1:10">
      <c r="A89" s="113"/>
      <c r="B89" s="26"/>
      <c r="C89" s="26"/>
      <c r="D89" s="26"/>
      <c r="E89" s="26"/>
      <c r="F89" s="26"/>
      <c r="G89" s="26"/>
      <c r="H89" s="25"/>
      <c r="I89" s="171"/>
      <c r="J89" s="173"/>
    </row>
    <row r="90" spans="1:10">
      <c r="A90" s="113"/>
      <c r="B90" s="26"/>
      <c r="C90" s="26"/>
      <c r="D90" s="26"/>
      <c r="E90" s="26"/>
      <c r="F90" s="26"/>
      <c r="G90" s="26"/>
      <c r="H90" s="25"/>
      <c r="I90" s="171"/>
      <c r="J90" s="173"/>
    </row>
    <row r="91" spans="1:10">
      <c r="A91" s="113"/>
      <c r="B91" s="26"/>
      <c r="C91" s="26"/>
      <c r="D91" s="26"/>
      <c r="E91" s="26"/>
      <c r="F91" s="26"/>
      <c r="G91" s="26"/>
      <c r="H91" s="25"/>
      <c r="I91" s="171"/>
      <c r="J91" s="173"/>
    </row>
    <row r="92" spans="1:10">
      <c r="A92" s="113"/>
      <c r="B92" s="26"/>
      <c r="C92" s="26"/>
      <c r="D92" s="26"/>
      <c r="E92" s="26"/>
      <c r="F92" s="26"/>
      <c r="G92" s="26"/>
      <c r="H92" s="25"/>
      <c r="I92" s="171"/>
      <c r="J92" s="173"/>
    </row>
    <row r="93" spans="1:10" ht="15" thickBot="1">
      <c r="A93" s="114"/>
      <c r="B93" s="99"/>
      <c r="C93" s="99"/>
      <c r="D93" s="99"/>
      <c r="E93" s="99"/>
      <c r="F93" s="99"/>
      <c r="G93" s="99"/>
      <c r="H93" s="100"/>
      <c r="I93" s="290"/>
      <c r="J93" s="199"/>
    </row>
    <row r="94" spans="1:10">
      <c r="A94" s="305" t="s">
        <v>245</v>
      </c>
      <c r="B94" s="319"/>
      <c r="C94" s="319"/>
      <c r="D94" s="319"/>
      <c r="E94" s="319"/>
      <c r="F94" s="319"/>
      <c r="G94" s="105" t="s">
        <v>233</v>
      </c>
      <c r="H94" s="68">
        <f>10+7+CastingStatMod</f>
        <v>18</v>
      </c>
      <c r="I94" s="305" t="s">
        <v>234</v>
      </c>
      <c r="J94" s="306"/>
    </row>
    <row r="95" spans="1:10" ht="15" thickBot="1">
      <c r="A95" s="108" t="s">
        <v>172</v>
      </c>
      <c r="B95" s="109" t="s">
        <v>124</v>
      </c>
      <c r="C95" s="109" t="s">
        <v>229</v>
      </c>
      <c r="D95" s="109" t="s">
        <v>230</v>
      </c>
      <c r="E95" s="109" t="s">
        <v>104</v>
      </c>
      <c r="F95" s="109" t="s">
        <v>231</v>
      </c>
      <c r="G95" s="109" t="s">
        <v>232</v>
      </c>
      <c r="H95" s="110" t="s">
        <v>114</v>
      </c>
      <c r="I95" s="53">
        <v>0</v>
      </c>
      <c r="J95" s="15" t="s">
        <v>240</v>
      </c>
    </row>
    <row r="96" spans="1:10">
      <c r="A96" s="111"/>
      <c r="B96" s="112"/>
      <c r="C96" s="112"/>
      <c r="D96" s="112"/>
      <c r="E96" s="112"/>
      <c r="F96" s="112"/>
      <c r="G96" s="112"/>
      <c r="H96" s="41"/>
      <c r="I96" s="316" t="s">
        <v>70</v>
      </c>
      <c r="J96" s="318"/>
    </row>
    <row r="97" spans="1:10">
      <c r="A97" s="113"/>
      <c r="B97" s="26"/>
      <c r="C97" s="26"/>
      <c r="D97" s="26"/>
      <c r="E97" s="26"/>
      <c r="F97" s="26"/>
      <c r="G97" s="26"/>
      <c r="H97" s="25"/>
      <c r="I97" s="269"/>
      <c r="J97" s="212"/>
    </row>
    <row r="98" spans="1:10">
      <c r="A98" s="113"/>
      <c r="B98" s="26"/>
      <c r="C98" s="26"/>
      <c r="D98" s="26"/>
      <c r="E98" s="26"/>
      <c r="F98" s="26"/>
      <c r="G98" s="26"/>
      <c r="H98" s="25"/>
      <c r="I98" s="171"/>
      <c r="J98" s="173"/>
    </row>
    <row r="99" spans="1:10">
      <c r="A99" s="113"/>
      <c r="B99" s="26"/>
      <c r="C99" s="26"/>
      <c r="D99" s="26"/>
      <c r="E99" s="26"/>
      <c r="F99" s="26"/>
      <c r="G99" s="26"/>
      <c r="H99" s="25"/>
      <c r="I99" s="171"/>
      <c r="J99" s="173"/>
    </row>
    <row r="100" spans="1:10">
      <c r="A100" s="113"/>
      <c r="B100" s="26"/>
      <c r="C100" s="26"/>
      <c r="D100" s="26"/>
      <c r="E100" s="26"/>
      <c r="F100" s="26"/>
      <c r="G100" s="26"/>
      <c r="H100" s="25"/>
      <c r="I100" s="171"/>
      <c r="J100" s="173"/>
    </row>
    <row r="101" spans="1:10">
      <c r="A101" s="113"/>
      <c r="B101" s="26"/>
      <c r="C101" s="26"/>
      <c r="D101" s="26"/>
      <c r="E101" s="26"/>
      <c r="F101" s="26"/>
      <c r="G101" s="26"/>
      <c r="H101" s="25"/>
      <c r="I101" s="171"/>
      <c r="J101" s="173"/>
    </row>
    <row r="102" spans="1:10">
      <c r="A102" s="113"/>
      <c r="B102" s="26"/>
      <c r="C102" s="26"/>
      <c r="D102" s="26"/>
      <c r="E102" s="26"/>
      <c r="F102" s="26"/>
      <c r="G102" s="26"/>
      <c r="H102" s="25"/>
      <c r="I102" s="171"/>
      <c r="J102" s="173"/>
    </row>
    <row r="103" spans="1:10" ht="15" thickBot="1">
      <c r="A103" s="114"/>
      <c r="B103" s="99"/>
      <c r="C103" s="99"/>
      <c r="D103" s="99"/>
      <c r="E103" s="99"/>
      <c r="F103" s="99"/>
      <c r="G103" s="99"/>
      <c r="H103" s="100"/>
      <c r="I103" s="290"/>
      <c r="J103" s="199"/>
    </row>
    <row r="104" spans="1:10">
      <c r="A104" s="305" t="s">
        <v>246</v>
      </c>
      <c r="B104" s="319"/>
      <c r="C104" s="319"/>
      <c r="D104" s="319"/>
      <c r="E104" s="319"/>
      <c r="F104" s="319"/>
      <c r="G104" s="105" t="s">
        <v>233</v>
      </c>
      <c r="H104" s="68">
        <f>10+8+CastingStatMod</f>
        <v>19</v>
      </c>
      <c r="I104" s="305" t="s">
        <v>234</v>
      </c>
      <c r="J104" s="306"/>
    </row>
    <row r="105" spans="1:10" ht="15" thickBot="1">
      <c r="A105" s="108" t="s">
        <v>172</v>
      </c>
      <c r="B105" s="109" t="s">
        <v>124</v>
      </c>
      <c r="C105" s="109" t="s">
        <v>229</v>
      </c>
      <c r="D105" s="109" t="s">
        <v>230</v>
      </c>
      <c r="E105" s="109" t="s">
        <v>104</v>
      </c>
      <c r="F105" s="109" t="s">
        <v>231</v>
      </c>
      <c r="G105" s="109" t="s">
        <v>232</v>
      </c>
      <c r="H105" s="110" t="s">
        <v>114</v>
      </c>
      <c r="I105" s="53">
        <v>0</v>
      </c>
      <c r="J105" s="15" t="s">
        <v>240</v>
      </c>
    </row>
    <row r="106" spans="1:10">
      <c r="A106" s="111"/>
      <c r="B106" s="112"/>
      <c r="C106" s="112"/>
      <c r="D106" s="112"/>
      <c r="E106" s="112"/>
      <c r="F106" s="112"/>
      <c r="G106" s="112"/>
      <c r="H106" s="41"/>
      <c r="I106" s="316" t="s">
        <v>70</v>
      </c>
      <c r="J106" s="318"/>
    </row>
    <row r="107" spans="1:10">
      <c r="A107" s="113"/>
      <c r="B107" s="26"/>
      <c r="C107" s="26"/>
      <c r="D107" s="26"/>
      <c r="E107" s="26"/>
      <c r="F107" s="26"/>
      <c r="G107" s="26"/>
      <c r="H107" s="25"/>
      <c r="I107" s="269"/>
      <c r="J107" s="212"/>
    </row>
    <row r="108" spans="1:10">
      <c r="A108" s="113"/>
      <c r="B108" s="26"/>
      <c r="C108" s="26"/>
      <c r="D108" s="26"/>
      <c r="E108" s="26"/>
      <c r="F108" s="26"/>
      <c r="G108" s="26"/>
      <c r="H108" s="25"/>
      <c r="I108" s="171"/>
      <c r="J108" s="173"/>
    </row>
    <row r="109" spans="1:10">
      <c r="A109" s="113"/>
      <c r="B109" s="26"/>
      <c r="C109" s="26"/>
      <c r="D109" s="26"/>
      <c r="E109" s="26"/>
      <c r="F109" s="26"/>
      <c r="G109" s="26"/>
      <c r="H109" s="25"/>
      <c r="I109" s="171"/>
      <c r="J109" s="173"/>
    </row>
    <row r="110" spans="1:10">
      <c r="A110" s="113"/>
      <c r="B110" s="26"/>
      <c r="C110" s="26"/>
      <c r="D110" s="26"/>
      <c r="E110" s="26"/>
      <c r="F110" s="26"/>
      <c r="G110" s="26"/>
      <c r="H110" s="25"/>
      <c r="I110" s="171"/>
      <c r="J110" s="173"/>
    </row>
    <row r="111" spans="1:10">
      <c r="A111" s="113"/>
      <c r="B111" s="26"/>
      <c r="C111" s="26"/>
      <c r="D111" s="26"/>
      <c r="E111" s="26"/>
      <c r="F111" s="26"/>
      <c r="G111" s="26"/>
      <c r="H111" s="25"/>
      <c r="I111" s="171"/>
      <c r="J111" s="173"/>
    </row>
    <row r="112" spans="1:10">
      <c r="A112" s="113"/>
      <c r="B112" s="26"/>
      <c r="C112" s="26"/>
      <c r="D112" s="26"/>
      <c r="E112" s="26"/>
      <c r="F112" s="26"/>
      <c r="G112" s="26"/>
      <c r="H112" s="25"/>
      <c r="I112" s="171"/>
      <c r="J112" s="173"/>
    </row>
    <row r="113" spans="1:10" ht="15" thickBot="1">
      <c r="A113" s="114"/>
      <c r="B113" s="99"/>
      <c r="C113" s="99"/>
      <c r="D113" s="99"/>
      <c r="E113" s="99"/>
      <c r="F113" s="99"/>
      <c r="G113" s="99"/>
      <c r="H113" s="100"/>
      <c r="I113" s="290"/>
      <c r="J113" s="199"/>
    </row>
    <row r="114" spans="1:10">
      <c r="A114" s="305" t="s">
        <v>247</v>
      </c>
      <c r="B114" s="319"/>
      <c r="C114" s="319"/>
      <c r="D114" s="319"/>
      <c r="E114" s="319"/>
      <c r="F114" s="319"/>
      <c r="G114" s="105" t="s">
        <v>233</v>
      </c>
      <c r="H114" s="68">
        <f>10+9+CastingStatMod</f>
        <v>20</v>
      </c>
      <c r="I114" s="305" t="s">
        <v>234</v>
      </c>
      <c r="J114" s="306"/>
    </row>
    <row r="115" spans="1:10" ht="15" thickBot="1">
      <c r="A115" s="108" t="s">
        <v>172</v>
      </c>
      <c r="B115" s="109" t="s">
        <v>124</v>
      </c>
      <c r="C115" s="109" t="s">
        <v>229</v>
      </c>
      <c r="D115" s="109" t="s">
        <v>230</v>
      </c>
      <c r="E115" s="109" t="s">
        <v>104</v>
      </c>
      <c r="F115" s="109" t="s">
        <v>231</v>
      </c>
      <c r="G115" s="109" t="s">
        <v>232</v>
      </c>
      <c r="H115" s="110" t="s">
        <v>114</v>
      </c>
      <c r="I115" s="53">
        <v>0</v>
      </c>
      <c r="J115" s="15" t="s">
        <v>240</v>
      </c>
    </row>
    <row r="116" spans="1:10">
      <c r="A116" s="111"/>
      <c r="B116" s="112"/>
      <c r="C116" s="112"/>
      <c r="D116" s="112"/>
      <c r="E116" s="112"/>
      <c r="F116" s="112"/>
      <c r="G116" s="112"/>
      <c r="H116" s="41"/>
      <c r="I116" s="316" t="s">
        <v>70</v>
      </c>
      <c r="J116" s="318"/>
    </row>
    <row r="117" spans="1:10">
      <c r="A117" s="113"/>
      <c r="B117" s="26"/>
      <c r="C117" s="26"/>
      <c r="D117" s="26"/>
      <c r="E117" s="26"/>
      <c r="F117" s="26"/>
      <c r="G117" s="26"/>
      <c r="H117" s="25"/>
      <c r="I117" s="269"/>
      <c r="J117" s="212"/>
    </row>
    <row r="118" spans="1:10">
      <c r="A118" s="113"/>
      <c r="B118" s="26"/>
      <c r="C118" s="26"/>
      <c r="D118" s="26"/>
      <c r="E118" s="26"/>
      <c r="F118" s="26"/>
      <c r="G118" s="26"/>
      <c r="H118" s="25"/>
      <c r="I118" s="171"/>
      <c r="J118" s="173"/>
    </row>
    <row r="119" spans="1:10">
      <c r="A119" s="113"/>
      <c r="B119" s="26"/>
      <c r="C119" s="26"/>
      <c r="D119" s="26"/>
      <c r="E119" s="26"/>
      <c r="F119" s="26"/>
      <c r="G119" s="26"/>
      <c r="H119" s="25"/>
      <c r="I119" s="171"/>
      <c r="J119" s="173"/>
    </row>
    <row r="120" spans="1:10">
      <c r="A120" s="113"/>
      <c r="B120" s="26"/>
      <c r="C120" s="26"/>
      <c r="D120" s="26"/>
      <c r="E120" s="26"/>
      <c r="F120" s="26"/>
      <c r="G120" s="26"/>
      <c r="H120" s="25"/>
      <c r="I120" s="171"/>
      <c r="J120" s="173"/>
    </row>
    <row r="121" spans="1:10">
      <c r="A121" s="113"/>
      <c r="B121" s="26"/>
      <c r="C121" s="26"/>
      <c r="D121" s="26"/>
      <c r="E121" s="26"/>
      <c r="F121" s="26"/>
      <c r="G121" s="26"/>
      <c r="H121" s="25"/>
      <c r="I121" s="171"/>
      <c r="J121" s="173"/>
    </row>
    <row r="122" spans="1:10">
      <c r="A122" s="113"/>
      <c r="B122" s="26"/>
      <c r="C122" s="26"/>
      <c r="D122" s="26"/>
      <c r="E122" s="26"/>
      <c r="F122" s="26"/>
      <c r="G122" s="26"/>
      <c r="H122" s="25"/>
      <c r="I122" s="171"/>
      <c r="J122" s="173"/>
    </row>
    <row r="123" spans="1:10" ht="15" thickBot="1">
      <c r="A123" s="114"/>
      <c r="B123" s="99"/>
      <c r="C123" s="99"/>
      <c r="D123" s="99"/>
      <c r="E123" s="99"/>
      <c r="F123" s="99"/>
      <c r="G123" s="99"/>
      <c r="H123" s="100"/>
      <c r="I123" s="290"/>
      <c r="J123" s="199"/>
    </row>
  </sheetData>
  <mergeCells count="187">
    <mergeCell ref="I83:J83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98:J98"/>
    <mergeCell ref="I99:J99"/>
    <mergeCell ref="I100:J100"/>
    <mergeCell ref="I101:J101"/>
    <mergeCell ref="I102:J102"/>
    <mergeCell ref="I103:J103"/>
    <mergeCell ref="A114:F114"/>
    <mergeCell ref="I114:J114"/>
    <mergeCell ref="I116:J116"/>
    <mergeCell ref="I117:J117"/>
    <mergeCell ref="A104:F104"/>
    <mergeCell ref="I104:J104"/>
    <mergeCell ref="I106:J106"/>
    <mergeCell ref="I108:J108"/>
    <mergeCell ref="I110:J110"/>
    <mergeCell ref="I111:J111"/>
    <mergeCell ref="I107:J107"/>
    <mergeCell ref="I109:J109"/>
    <mergeCell ref="A94:F94"/>
    <mergeCell ref="I94:J94"/>
    <mergeCell ref="I96:J96"/>
    <mergeCell ref="I97:J97"/>
    <mergeCell ref="I86:J86"/>
    <mergeCell ref="I87:J87"/>
    <mergeCell ref="I88:J88"/>
    <mergeCell ref="I89:J89"/>
    <mergeCell ref="I90:J90"/>
    <mergeCell ref="I91:J91"/>
    <mergeCell ref="I92:J92"/>
    <mergeCell ref="I93:J93"/>
    <mergeCell ref="A84:F84"/>
    <mergeCell ref="I84:J84"/>
    <mergeCell ref="A73:F73"/>
    <mergeCell ref="I73:J73"/>
    <mergeCell ref="I75:J75"/>
    <mergeCell ref="I76:J76"/>
    <mergeCell ref="I77:J77"/>
    <mergeCell ref="I78:J78"/>
    <mergeCell ref="I55:J55"/>
    <mergeCell ref="I56:J56"/>
    <mergeCell ref="I57:J57"/>
    <mergeCell ref="I58:J58"/>
    <mergeCell ref="I59:J59"/>
    <mergeCell ref="I60:J60"/>
    <mergeCell ref="I70:J70"/>
    <mergeCell ref="I71:J71"/>
    <mergeCell ref="I72:J72"/>
    <mergeCell ref="I65:J65"/>
    <mergeCell ref="I66:J66"/>
    <mergeCell ref="I61:J61"/>
    <mergeCell ref="I79:J79"/>
    <mergeCell ref="I80:J80"/>
    <mergeCell ref="I81:J81"/>
    <mergeCell ref="I82:J82"/>
    <mergeCell ref="I12:J12"/>
    <mergeCell ref="A23:F23"/>
    <mergeCell ref="I27:J27"/>
    <mergeCell ref="A36:F36"/>
    <mergeCell ref="I40:J40"/>
    <mergeCell ref="A49:F49"/>
    <mergeCell ref="I48:J48"/>
    <mergeCell ref="A6:B6"/>
    <mergeCell ref="A7:B7"/>
    <mergeCell ref="A8:B8"/>
    <mergeCell ref="A9:B9"/>
    <mergeCell ref="A11:F11"/>
    <mergeCell ref="I11:J11"/>
    <mergeCell ref="I30:J30"/>
    <mergeCell ref="I31:J31"/>
    <mergeCell ref="I33:J33"/>
    <mergeCell ref="I20:J20"/>
    <mergeCell ref="I22:J22"/>
    <mergeCell ref="I13:J13"/>
    <mergeCell ref="I15:J15"/>
    <mergeCell ref="I17:J17"/>
    <mergeCell ref="I25:J25"/>
    <mergeCell ref="I32:J32"/>
    <mergeCell ref="A2:J2"/>
    <mergeCell ref="I3:J3"/>
    <mergeCell ref="A3:B3"/>
    <mergeCell ref="A4:B4"/>
    <mergeCell ref="A5:B5"/>
    <mergeCell ref="A10:B10"/>
    <mergeCell ref="I49:J49"/>
    <mergeCell ref="A62:F62"/>
    <mergeCell ref="I64:J64"/>
    <mergeCell ref="I51:J51"/>
    <mergeCell ref="I52:J52"/>
    <mergeCell ref="I53:J53"/>
    <mergeCell ref="I54:J54"/>
    <mergeCell ref="I42:J42"/>
    <mergeCell ref="I43:J43"/>
    <mergeCell ref="I44:J44"/>
    <mergeCell ref="I46:J46"/>
    <mergeCell ref="I47:J47"/>
    <mergeCell ref="I34:J34"/>
    <mergeCell ref="I35:J35"/>
    <mergeCell ref="I36:J36"/>
    <mergeCell ref="I38:J38"/>
    <mergeCell ref="I26:J26"/>
    <mergeCell ref="I29:J29"/>
    <mergeCell ref="K57:W57"/>
    <mergeCell ref="K61:W61"/>
    <mergeCell ref="I18:J18"/>
    <mergeCell ref="I19:J19"/>
    <mergeCell ref="I21:J21"/>
    <mergeCell ref="K54:W54"/>
    <mergeCell ref="K55:W55"/>
    <mergeCell ref="K56:W56"/>
    <mergeCell ref="K58:W58"/>
    <mergeCell ref="K59:W59"/>
    <mergeCell ref="K60:W60"/>
    <mergeCell ref="K47:W47"/>
    <mergeCell ref="K48:W48"/>
    <mergeCell ref="K49:W49"/>
    <mergeCell ref="K50:W50"/>
    <mergeCell ref="K52:W52"/>
    <mergeCell ref="K53:W53"/>
    <mergeCell ref="K44:W44"/>
    <mergeCell ref="K45:W45"/>
    <mergeCell ref="K19:W19"/>
    <mergeCell ref="K26:W26"/>
    <mergeCell ref="K32:W32"/>
    <mergeCell ref="K38:W38"/>
    <mergeCell ref="K40:W40"/>
    <mergeCell ref="K17:W17"/>
    <mergeCell ref="K18:W18"/>
    <mergeCell ref="K20:W20"/>
    <mergeCell ref="K22:W22"/>
    <mergeCell ref="K23:W23"/>
    <mergeCell ref="K24:W24"/>
    <mergeCell ref="K21:W21"/>
    <mergeCell ref="K42:W42"/>
    <mergeCell ref="K43:W43"/>
    <mergeCell ref="K37:W37"/>
    <mergeCell ref="K30:W30"/>
    <mergeCell ref="K31:W31"/>
    <mergeCell ref="K34:W34"/>
    <mergeCell ref="K35:W35"/>
    <mergeCell ref="K36:W36"/>
    <mergeCell ref="K41:W41"/>
    <mergeCell ref="K27:W27"/>
    <mergeCell ref="K33:W33"/>
    <mergeCell ref="K39:W39"/>
    <mergeCell ref="K46:W46"/>
    <mergeCell ref="K51:W51"/>
    <mergeCell ref="K25:W25"/>
    <mergeCell ref="K28:W28"/>
    <mergeCell ref="K29:W29"/>
    <mergeCell ref="A1:J1"/>
    <mergeCell ref="I14:J14"/>
    <mergeCell ref="N5:W5"/>
    <mergeCell ref="N6:W6"/>
    <mergeCell ref="N7:W7"/>
    <mergeCell ref="N8:W8"/>
    <mergeCell ref="N9:W9"/>
    <mergeCell ref="K1:W1"/>
    <mergeCell ref="K2:M2"/>
    <mergeCell ref="N2:W2"/>
    <mergeCell ref="N3:W3"/>
    <mergeCell ref="N4:W4"/>
    <mergeCell ref="N10:W10"/>
    <mergeCell ref="N11:W11"/>
    <mergeCell ref="N12:W12"/>
    <mergeCell ref="N13:W13"/>
    <mergeCell ref="K14:W14"/>
    <mergeCell ref="K15:W15"/>
    <mergeCell ref="K16:W16"/>
    <mergeCell ref="I62:J62"/>
    <mergeCell ref="I67:J67"/>
    <mergeCell ref="I68:J68"/>
    <mergeCell ref="I69:J69"/>
    <mergeCell ref="I39:J39"/>
    <mergeCell ref="I41:J41"/>
    <mergeCell ref="I45:J45"/>
    <mergeCell ref="I16:J16"/>
    <mergeCell ref="I28:J28"/>
    <mergeCell ref="I23:J23"/>
  </mergeCells>
  <printOptions gridLines="1"/>
  <pageMargins left="0.7" right="0.7" top="0.75" bottom="0.75" header="0.3" footer="0.3"/>
  <pageSetup scale="75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vals!$N$20:$N$22</xm:f>
          </x14:formula1>
          <xm:sqref>I12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B5" sqref="B5"/>
    </sheetView>
  </sheetViews>
  <sheetFormatPr baseColWidth="10" defaultColWidth="8.83203125" defaultRowHeight="14" x14ac:dyDescent="0"/>
  <cols>
    <col min="1" max="1" width="9.83203125" customWidth="1"/>
    <col min="2" max="2" width="17.5" customWidth="1"/>
    <col min="3" max="3" width="4.1640625" style="3" bestFit="1" customWidth="1"/>
    <col min="4" max="4" width="4" style="3" bestFit="1" customWidth="1"/>
    <col min="5" max="5" width="4.5" style="3" bestFit="1" customWidth="1"/>
    <col min="6" max="6" width="7" style="3" bestFit="1" customWidth="1"/>
    <col min="7" max="7" width="17.5" customWidth="1"/>
    <col min="8" max="8" width="4.1640625" bestFit="1" customWidth="1"/>
    <col min="9" max="9" width="4" bestFit="1" customWidth="1"/>
    <col min="10" max="10" width="4.5" bestFit="1" customWidth="1"/>
    <col min="11" max="11" width="7" bestFit="1" customWidth="1"/>
    <col min="12" max="12" width="17.5" customWidth="1"/>
    <col min="13" max="13" width="4.1640625" bestFit="1" customWidth="1"/>
    <col min="14" max="14" width="5.5" customWidth="1"/>
    <col min="15" max="15" width="4.5" bestFit="1" customWidth="1"/>
    <col min="16" max="16" width="7" bestFit="1" customWidth="1"/>
    <col min="17" max="17" width="17.5" customWidth="1"/>
    <col min="18" max="18" width="4.1640625" bestFit="1" customWidth="1"/>
    <col min="19" max="19" width="4" bestFit="1" customWidth="1"/>
    <col min="20" max="20" width="4.5" bestFit="1" customWidth="1"/>
    <col min="21" max="21" width="7" bestFit="1" customWidth="1"/>
  </cols>
  <sheetData>
    <row r="1" spans="1:21" ht="16" thickBot="1">
      <c r="A1" s="202" t="s">
        <v>265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/>
    </row>
    <row r="2" spans="1:21">
      <c r="A2" s="130" t="s">
        <v>264</v>
      </c>
      <c r="B2" s="305" t="s">
        <v>267</v>
      </c>
      <c r="C2" s="319"/>
      <c r="D2" s="319"/>
      <c r="E2" s="104" t="s">
        <v>272</v>
      </c>
      <c r="F2" s="122">
        <f>SUM(E:E)</f>
        <v>0</v>
      </c>
      <c r="G2" s="305" t="s">
        <v>268</v>
      </c>
      <c r="H2" s="319"/>
      <c r="I2" s="319"/>
      <c r="J2" s="104" t="s">
        <v>272</v>
      </c>
      <c r="K2" s="122">
        <f>SUM(J:J)</f>
        <v>0</v>
      </c>
      <c r="L2" s="305" t="s">
        <v>269</v>
      </c>
      <c r="M2" s="319"/>
      <c r="N2" s="319"/>
      <c r="O2" s="104" t="s">
        <v>272</v>
      </c>
      <c r="P2" s="122">
        <f>SUM(O:O)</f>
        <v>0</v>
      </c>
      <c r="Q2" s="305" t="s">
        <v>270</v>
      </c>
      <c r="R2" s="319"/>
      <c r="S2" s="319"/>
      <c r="T2" s="104" t="s">
        <v>272</v>
      </c>
      <c r="U2" s="122">
        <f>SUM(T:T)</f>
        <v>0</v>
      </c>
    </row>
    <row r="3" spans="1:21">
      <c r="A3" s="123" t="s">
        <v>257</v>
      </c>
      <c r="B3" s="108" t="s">
        <v>254</v>
      </c>
      <c r="C3" s="115" t="s">
        <v>271</v>
      </c>
      <c r="D3" s="115" t="s">
        <v>255</v>
      </c>
      <c r="E3" s="115" t="s">
        <v>272</v>
      </c>
      <c r="F3" s="98" t="s">
        <v>256</v>
      </c>
      <c r="G3" s="108" t="s">
        <v>254</v>
      </c>
      <c r="H3" s="115" t="s">
        <v>271</v>
      </c>
      <c r="I3" s="115" t="s">
        <v>255</v>
      </c>
      <c r="J3" s="115" t="s">
        <v>272</v>
      </c>
      <c r="K3" s="98" t="s">
        <v>256</v>
      </c>
      <c r="L3" s="108" t="s">
        <v>254</v>
      </c>
      <c r="M3" s="115" t="s">
        <v>271</v>
      </c>
      <c r="N3" s="115" t="s">
        <v>255</v>
      </c>
      <c r="O3" s="115" t="s">
        <v>272</v>
      </c>
      <c r="P3" s="98" t="s">
        <v>256</v>
      </c>
      <c r="Q3" s="108" t="s">
        <v>254</v>
      </c>
      <c r="R3" s="115" t="s">
        <v>271</v>
      </c>
      <c r="S3" s="115" t="s">
        <v>255</v>
      </c>
      <c r="T3" s="115" t="s">
        <v>272</v>
      </c>
      <c r="U3" s="98" t="s">
        <v>256</v>
      </c>
    </row>
    <row r="4" spans="1:21">
      <c r="A4" s="128">
        <f>IF(hasAntsHaul="Yes",BaseLightCapac*3,BaseLightCapac)</f>
        <v>33</v>
      </c>
      <c r="B4" s="111" t="s">
        <v>530</v>
      </c>
      <c r="C4" s="56"/>
      <c r="D4" s="56"/>
      <c r="E4" s="56">
        <f>C4*D4</f>
        <v>0</v>
      </c>
      <c r="F4" s="77"/>
      <c r="G4" s="111"/>
      <c r="H4" s="56"/>
      <c r="I4" s="56"/>
      <c r="J4" s="56">
        <f>H4*I4</f>
        <v>0</v>
      </c>
      <c r="K4" s="77"/>
      <c r="L4" s="111"/>
      <c r="M4" s="56"/>
      <c r="N4" s="56"/>
      <c r="O4" s="56">
        <f>M4*N4</f>
        <v>0</v>
      </c>
      <c r="P4" s="77"/>
      <c r="Q4" s="111"/>
      <c r="R4" s="56"/>
      <c r="S4" s="56"/>
      <c r="T4" s="56">
        <f>R4*S4</f>
        <v>0</v>
      </c>
      <c r="U4" s="77"/>
    </row>
    <row r="5" spans="1:21">
      <c r="A5" s="123" t="s">
        <v>35</v>
      </c>
      <c r="B5" s="113"/>
      <c r="C5" s="46"/>
      <c r="D5" s="46"/>
      <c r="E5" s="46">
        <f t="shared" ref="E5:E43" si="0">C5*D5</f>
        <v>0</v>
      </c>
      <c r="F5" s="102"/>
      <c r="G5" s="127"/>
      <c r="H5" s="101"/>
      <c r="I5" s="101"/>
      <c r="J5" s="46">
        <f t="shared" ref="J5:J43" si="1">H5*I5</f>
        <v>0</v>
      </c>
      <c r="K5" s="102"/>
      <c r="L5" s="113"/>
      <c r="M5" s="26"/>
      <c r="N5" s="26"/>
      <c r="O5" s="46">
        <f t="shared" ref="O5:O43" si="2">M5*N5</f>
        <v>0</v>
      </c>
      <c r="P5" s="25"/>
      <c r="Q5" s="113"/>
      <c r="R5" s="26"/>
      <c r="S5" s="26"/>
      <c r="T5" s="46">
        <f t="shared" ref="T5:T43" si="3">R5*S5</f>
        <v>0</v>
      </c>
      <c r="U5" s="25"/>
    </row>
    <row r="6" spans="1:21">
      <c r="A6" s="128">
        <f>IF(hasAntsHaul="Yes",BaseMedCapac*3,BaseMedCapac)</f>
        <v>66</v>
      </c>
      <c r="B6" s="113"/>
      <c r="C6" s="46"/>
      <c r="D6" s="46"/>
      <c r="E6" s="46">
        <f t="shared" si="0"/>
        <v>0</v>
      </c>
      <c r="F6" s="102"/>
      <c r="G6" s="113"/>
      <c r="H6" s="46"/>
      <c r="I6" s="46"/>
      <c r="J6" s="46">
        <f t="shared" si="1"/>
        <v>0</v>
      </c>
      <c r="K6" s="102"/>
      <c r="L6" s="113"/>
      <c r="M6" s="26"/>
      <c r="N6" s="26"/>
      <c r="O6" s="46">
        <f t="shared" si="2"/>
        <v>0</v>
      </c>
      <c r="P6" s="25"/>
      <c r="Q6" s="113"/>
      <c r="R6" s="26"/>
      <c r="S6" s="26"/>
      <c r="T6" s="46">
        <f t="shared" si="3"/>
        <v>0</v>
      </c>
      <c r="U6" s="25"/>
    </row>
    <row r="7" spans="1:21">
      <c r="A7" s="123" t="s">
        <v>258</v>
      </c>
      <c r="B7" s="113"/>
      <c r="C7" s="46"/>
      <c r="D7" s="46"/>
      <c r="E7" s="46">
        <f t="shared" si="0"/>
        <v>0</v>
      </c>
      <c r="F7" s="102"/>
      <c r="G7" s="113"/>
      <c r="H7" s="46"/>
      <c r="I7" s="46"/>
      <c r="J7" s="46">
        <f t="shared" si="1"/>
        <v>0</v>
      </c>
      <c r="K7" s="102"/>
      <c r="L7" s="113"/>
      <c r="M7" s="26"/>
      <c r="N7" s="26"/>
      <c r="O7" s="46">
        <f t="shared" si="2"/>
        <v>0</v>
      </c>
      <c r="P7" s="25"/>
      <c r="Q7" s="113"/>
      <c r="R7" s="26"/>
      <c r="S7" s="26"/>
      <c r="T7" s="46">
        <f t="shared" si="3"/>
        <v>0</v>
      </c>
      <c r="U7" s="25"/>
    </row>
    <row r="8" spans="1:21">
      <c r="A8" s="43">
        <f>IF(hasAntsHaul="Yes",baseHeavyCapac*3,baseHeavyCapac)</f>
        <v>100</v>
      </c>
      <c r="B8" s="113"/>
      <c r="C8" s="46"/>
      <c r="D8" s="46"/>
      <c r="E8" s="46">
        <f t="shared" si="0"/>
        <v>0</v>
      </c>
      <c r="F8" s="102"/>
      <c r="G8" s="113"/>
      <c r="H8" s="46"/>
      <c r="I8" s="46"/>
      <c r="J8" s="46">
        <f t="shared" si="1"/>
        <v>0</v>
      </c>
      <c r="K8" s="102"/>
      <c r="L8" s="113"/>
      <c r="M8" s="26"/>
      <c r="N8" s="26"/>
      <c r="O8" s="46">
        <f t="shared" si="2"/>
        <v>0</v>
      </c>
      <c r="P8" s="25"/>
      <c r="Q8" s="113"/>
      <c r="R8" s="26"/>
      <c r="S8" s="26"/>
      <c r="T8" s="46">
        <f t="shared" si="3"/>
        <v>0</v>
      </c>
      <c r="U8" s="25"/>
    </row>
    <row r="9" spans="1:21">
      <c r="A9" s="123" t="s">
        <v>276</v>
      </c>
      <c r="B9" s="113"/>
      <c r="C9" s="46"/>
      <c r="D9" s="46"/>
      <c r="E9" s="46">
        <f t="shared" si="0"/>
        <v>0</v>
      </c>
      <c r="F9" s="102"/>
      <c r="G9" s="113"/>
      <c r="H9" s="46"/>
      <c r="I9" s="46"/>
      <c r="J9" s="46">
        <f t="shared" si="1"/>
        <v>0</v>
      </c>
      <c r="K9" s="102"/>
      <c r="L9" s="113"/>
      <c r="M9" s="26"/>
      <c r="N9" s="26"/>
      <c r="O9" s="46">
        <f t="shared" si="2"/>
        <v>0</v>
      </c>
      <c r="P9" s="25"/>
      <c r="Q9" s="113"/>
      <c r="R9" s="26"/>
      <c r="S9" s="26"/>
      <c r="T9" s="46">
        <f t="shared" si="3"/>
        <v>0</v>
      </c>
      <c r="U9" s="25"/>
    </row>
    <row r="10" spans="1:21">
      <c r="A10" s="128">
        <f>HeavyCapac*5</f>
        <v>500</v>
      </c>
      <c r="B10" s="113"/>
      <c r="C10" s="46"/>
      <c r="D10" s="46"/>
      <c r="E10" s="46">
        <f t="shared" si="0"/>
        <v>0</v>
      </c>
      <c r="F10" s="102"/>
      <c r="G10" s="113"/>
      <c r="H10" s="26"/>
      <c r="I10" s="26"/>
      <c r="J10" s="46">
        <f t="shared" si="1"/>
        <v>0</v>
      </c>
      <c r="K10" s="25"/>
      <c r="L10" s="113"/>
      <c r="M10" s="26"/>
      <c r="N10" s="26"/>
      <c r="O10" s="46">
        <f t="shared" si="2"/>
        <v>0</v>
      </c>
      <c r="P10" s="25"/>
      <c r="Q10" s="113"/>
      <c r="R10" s="26"/>
      <c r="S10" s="26"/>
      <c r="T10" s="46">
        <f t="shared" si="3"/>
        <v>0</v>
      </c>
      <c r="U10" s="25"/>
    </row>
    <row r="11" spans="1:21">
      <c r="A11" s="131" t="s">
        <v>273</v>
      </c>
      <c r="B11" s="113"/>
      <c r="C11" s="46"/>
      <c r="D11" s="46"/>
      <c r="E11" s="46">
        <f t="shared" si="0"/>
        <v>0</v>
      </c>
      <c r="F11" s="102"/>
      <c r="G11" s="113"/>
      <c r="H11" s="26"/>
      <c r="I11" s="26"/>
      <c r="J11" s="46">
        <f t="shared" si="1"/>
        <v>0</v>
      </c>
      <c r="K11" s="25"/>
      <c r="L11" s="113"/>
      <c r="M11" s="26"/>
      <c r="N11" s="26"/>
      <c r="O11" s="46">
        <f t="shared" si="2"/>
        <v>0</v>
      </c>
      <c r="P11" s="25"/>
      <c r="Q11" s="113"/>
      <c r="R11" s="26"/>
      <c r="S11" s="26"/>
      <c r="T11" s="46">
        <f t="shared" si="3"/>
        <v>0</v>
      </c>
      <c r="U11" s="25"/>
    </row>
    <row r="12" spans="1:21">
      <c r="A12" s="128" t="s">
        <v>275</v>
      </c>
      <c r="B12" s="113"/>
      <c r="C12" s="46"/>
      <c r="D12" s="46"/>
      <c r="E12" s="46">
        <f t="shared" si="0"/>
        <v>0</v>
      </c>
      <c r="F12" s="102"/>
      <c r="G12" s="113"/>
      <c r="H12" s="26"/>
      <c r="I12" s="26"/>
      <c r="J12" s="46">
        <f t="shared" si="1"/>
        <v>0</v>
      </c>
      <c r="K12" s="25"/>
      <c r="L12" s="113"/>
      <c r="M12" s="26"/>
      <c r="N12" s="26"/>
      <c r="O12" s="46">
        <f t="shared" si="2"/>
        <v>0</v>
      </c>
      <c r="P12" s="25"/>
      <c r="Q12" s="113"/>
      <c r="R12" s="26"/>
      <c r="S12" s="26"/>
      <c r="T12" s="46">
        <f t="shared" si="3"/>
        <v>0</v>
      </c>
      <c r="U12" s="25"/>
    </row>
    <row r="13" spans="1:21" s="6" customFormat="1">
      <c r="A13" s="131" t="s">
        <v>277</v>
      </c>
      <c r="B13" s="113"/>
      <c r="C13" s="46"/>
      <c r="D13" s="46"/>
      <c r="E13" s="46">
        <f t="shared" si="0"/>
        <v>0</v>
      </c>
      <c r="F13" s="102"/>
      <c r="G13" s="113"/>
      <c r="H13" s="26"/>
      <c r="I13" s="26"/>
      <c r="J13" s="46">
        <f t="shared" si="1"/>
        <v>0</v>
      </c>
      <c r="K13" s="25"/>
      <c r="L13" s="113"/>
      <c r="M13" s="26"/>
      <c r="N13" s="26"/>
      <c r="O13" s="46">
        <f t="shared" si="2"/>
        <v>0</v>
      </c>
      <c r="P13" s="25"/>
      <c r="Q13" s="113"/>
      <c r="R13" s="26"/>
      <c r="S13" s="26"/>
      <c r="T13" s="46">
        <f t="shared" si="3"/>
        <v>0</v>
      </c>
      <c r="U13" s="25"/>
    </row>
    <row r="14" spans="1:21" ht="15" thickBot="1">
      <c r="A14" s="128" t="s">
        <v>275</v>
      </c>
      <c r="B14" s="113"/>
      <c r="C14" s="46"/>
      <c r="D14" s="46"/>
      <c r="E14" s="46">
        <f t="shared" si="0"/>
        <v>0</v>
      </c>
      <c r="F14" s="102"/>
      <c r="G14" s="113"/>
      <c r="H14" s="26"/>
      <c r="I14" s="26"/>
      <c r="J14" s="46">
        <f t="shared" si="1"/>
        <v>0</v>
      </c>
      <c r="K14" s="25"/>
      <c r="L14" s="113"/>
      <c r="M14" s="26"/>
      <c r="N14" s="26"/>
      <c r="O14" s="46">
        <f t="shared" si="2"/>
        <v>0</v>
      </c>
      <c r="P14" s="25"/>
      <c r="Q14" s="113"/>
      <c r="R14" s="26"/>
      <c r="S14" s="26"/>
      <c r="T14" s="46">
        <f t="shared" si="3"/>
        <v>0</v>
      </c>
      <c r="U14" s="25"/>
    </row>
    <row r="15" spans="1:21">
      <c r="A15" s="130" t="s">
        <v>266</v>
      </c>
      <c r="B15" s="113"/>
      <c r="C15" s="46"/>
      <c r="D15" s="46"/>
      <c r="E15" s="46">
        <f t="shared" si="0"/>
        <v>0</v>
      </c>
      <c r="F15" s="102"/>
      <c r="G15" s="113"/>
      <c r="H15" s="26"/>
      <c r="I15" s="26"/>
      <c r="J15" s="46">
        <f t="shared" si="1"/>
        <v>0</v>
      </c>
      <c r="K15" s="25"/>
      <c r="L15" s="113"/>
      <c r="M15" s="26"/>
      <c r="N15" s="26"/>
      <c r="O15" s="46">
        <f t="shared" si="2"/>
        <v>0</v>
      </c>
      <c r="P15" s="25"/>
      <c r="Q15" s="113"/>
      <c r="R15" s="26"/>
      <c r="S15" s="26"/>
      <c r="T15" s="46">
        <f t="shared" si="3"/>
        <v>0</v>
      </c>
      <c r="U15" s="25"/>
    </row>
    <row r="16" spans="1:21" ht="15" thickBot="1">
      <c r="A16" s="129">
        <f>OnPersonWeight+BackpackWeight+Cont1Weight+Cont2Weight</f>
        <v>0</v>
      </c>
      <c r="B16" s="113"/>
      <c r="C16" s="46"/>
      <c r="D16" s="46"/>
      <c r="E16" s="46">
        <f t="shared" si="0"/>
        <v>0</v>
      </c>
      <c r="F16" s="102"/>
      <c r="G16" s="113"/>
      <c r="H16" s="26"/>
      <c r="I16" s="26"/>
      <c r="J16" s="46">
        <f t="shared" si="1"/>
        <v>0</v>
      </c>
      <c r="K16" s="25"/>
      <c r="L16" s="113"/>
      <c r="M16" s="26"/>
      <c r="N16" s="26"/>
      <c r="O16" s="46">
        <f t="shared" si="2"/>
        <v>0</v>
      </c>
      <c r="P16" s="25"/>
      <c r="Q16" s="113"/>
      <c r="R16" s="26"/>
      <c r="S16" s="26"/>
      <c r="T16" s="46">
        <f t="shared" si="3"/>
        <v>0</v>
      </c>
      <c r="U16" s="25"/>
    </row>
    <row r="17" spans="1:21">
      <c r="A17" s="125" t="s">
        <v>263</v>
      </c>
      <c r="B17" s="113"/>
      <c r="C17" s="46"/>
      <c r="D17" s="46"/>
      <c r="E17" s="46">
        <f t="shared" si="0"/>
        <v>0</v>
      </c>
      <c r="F17" s="102"/>
      <c r="G17" s="113"/>
      <c r="H17" s="26"/>
      <c r="I17" s="26"/>
      <c r="J17" s="46">
        <f t="shared" si="1"/>
        <v>0</v>
      </c>
      <c r="K17" s="25"/>
      <c r="L17" s="113"/>
      <c r="M17" s="26"/>
      <c r="N17" s="26"/>
      <c r="O17" s="46">
        <f t="shared" si="2"/>
        <v>0</v>
      </c>
      <c r="P17" s="25"/>
      <c r="Q17" s="113"/>
      <c r="R17" s="26"/>
      <c r="S17" s="26"/>
      <c r="T17" s="46">
        <f t="shared" si="3"/>
        <v>0</v>
      </c>
      <c r="U17" s="25"/>
    </row>
    <row r="18" spans="1:21">
      <c r="A18" s="123" t="s">
        <v>262</v>
      </c>
      <c r="B18" s="113"/>
      <c r="C18" s="46"/>
      <c r="D18" s="46"/>
      <c r="E18" s="46">
        <f t="shared" si="0"/>
        <v>0</v>
      </c>
      <c r="F18" s="102"/>
      <c r="G18" s="113"/>
      <c r="H18" s="26"/>
      <c r="I18" s="26"/>
      <c r="J18" s="46">
        <f t="shared" si="1"/>
        <v>0</v>
      </c>
      <c r="K18" s="25"/>
      <c r="L18" s="113"/>
      <c r="M18" s="26"/>
      <c r="N18" s="26"/>
      <c r="O18" s="46">
        <f t="shared" si="2"/>
        <v>0</v>
      </c>
      <c r="P18" s="25"/>
      <c r="Q18" s="113"/>
      <c r="R18" s="26"/>
      <c r="S18" s="26"/>
      <c r="T18" s="46">
        <f t="shared" si="3"/>
        <v>0</v>
      </c>
      <c r="U18" s="25"/>
    </row>
    <row r="19" spans="1:21">
      <c r="A19" s="128">
        <v>0</v>
      </c>
      <c r="B19" s="113"/>
      <c r="C19" s="46"/>
      <c r="D19" s="46"/>
      <c r="E19" s="46">
        <f t="shared" si="0"/>
        <v>0</v>
      </c>
      <c r="F19" s="102"/>
      <c r="G19" s="113"/>
      <c r="H19" s="26"/>
      <c r="I19" s="26"/>
      <c r="J19" s="46">
        <f t="shared" si="1"/>
        <v>0</v>
      </c>
      <c r="K19" s="25"/>
      <c r="L19" s="113"/>
      <c r="M19" s="26"/>
      <c r="N19" s="26"/>
      <c r="O19" s="46">
        <f t="shared" si="2"/>
        <v>0</v>
      </c>
      <c r="P19" s="25"/>
      <c r="Q19" s="113"/>
      <c r="R19" s="26"/>
      <c r="S19" s="26"/>
      <c r="T19" s="46">
        <f t="shared" si="3"/>
        <v>0</v>
      </c>
      <c r="U19" s="25"/>
    </row>
    <row r="20" spans="1:21">
      <c r="A20" s="123" t="s">
        <v>259</v>
      </c>
      <c r="B20" s="113"/>
      <c r="C20" s="46"/>
      <c r="D20" s="46"/>
      <c r="E20" s="46">
        <f t="shared" si="0"/>
        <v>0</v>
      </c>
      <c r="F20" s="102"/>
      <c r="G20" s="113"/>
      <c r="H20" s="26"/>
      <c r="I20" s="26"/>
      <c r="J20" s="46">
        <f t="shared" si="1"/>
        <v>0</v>
      </c>
      <c r="K20" s="25"/>
      <c r="L20" s="113"/>
      <c r="M20" s="26"/>
      <c r="N20" s="26"/>
      <c r="O20" s="46">
        <f t="shared" si="2"/>
        <v>0</v>
      </c>
      <c r="P20" s="25"/>
      <c r="Q20" s="113"/>
      <c r="R20" s="26"/>
      <c r="S20" s="26"/>
      <c r="T20" s="46">
        <f t="shared" si="3"/>
        <v>0</v>
      </c>
      <c r="U20" s="25"/>
    </row>
    <row r="21" spans="1:21">
      <c r="A21" s="128">
        <v>0</v>
      </c>
      <c r="B21" s="113"/>
      <c r="C21" s="46"/>
      <c r="D21" s="46"/>
      <c r="E21" s="46">
        <f t="shared" si="0"/>
        <v>0</v>
      </c>
      <c r="F21" s="102"/>
      <c r="G21" s="113"/>
      <c r="H21" s="26"/>
      <c r="I21" s="26"/>
      <c r="J21" s="46">
        <f t="shared" si="1"/>
        <v>0</v>
      </c>
      <c r="K21" s="25"/>
      <c r="L21" s="113"/>
      <c r="M21" s="26"/>
      <c r="N21" s="26"/>
      <c r="O21" s="46">
        <f t="shared" si="2"/>
        <v>0</v>
      </c>
      <c r="P21" s="25"/>
      <c r="Q21" s="113"/>
      <c r="R21" s="26"/>
      <c r="S21" s="26"/>
      <c r="T21" s="46">
        <f t="shared" si="3"/>
        <v>0</v>
      </c>
      <c r="U21" s="25"/>
    </row>
    <row r="22" spans="1:21">
      <c r="A22" s="123" t="s">
        <v>260</v>
      </c>
      <c r="B22" s="113"/>
      <c r="C22" s="46"/>
      <c r="D22" s="46"/>
      <c r="E22" s="46">
        <f t="shared" si="0"/>
        <v>0</v>
      </c>
      <c r="F22" s="102"/>
      <c r="G22" s="113"/>
      <c r="H22" s="26"/>
      <c r="I22" s="26"/>
      <c r="J22" s="46">
        <f t="shared" si="1"/>
        <v>0</v>
      </c>
      <c r="K22" s="25"/>
      <c r="L22" s="113"/>
      <c r="M22" s="26"/>
      <c r="N22" s="26"/>
      <c r="O22" s="46">
        <f t="shared" si="2"/>
        <v>0</v>
      </c>
      <c r="P22" s="25"/>
      <c r="Q22" s="113"/>
      <c r="R22" s="26"/>
      <c r="S22" s="26"/>
      <c r="T22" s="46">
        <f t="shared" si="3"/>
        <v>0</v>
      </c>
      <c r="U22" s="25"/>
    </row>
    <row r="23" spans="1:21">
      <c r="A23" s="128">
        <v>0</v>
      </c>
      <c r="B23" s="113"/>
      <c r="C23" s="46"/>
      <c r="D23" s="46"/>
      <c r="E23" s="46">
        <f t="shared" si="0"/>
        <v>0</v>
      </c>
      <c r="F23" s="102"/>
      <c r="G23" s="113"/>
      <c r="H23" s="26"/>
      <c r="I23" s="26"/>
      <c r="J23" s="46">
        <f t="shared" si="1"/>
        <v>0</v>
      </c>
      <c r="K23" s="25"/>
      <c r="L23" s="113"/>
      <c r="M23" s="26"/>
      <c r="N23" s="26"/>
      <c r="O23" s="46">
        <f t="shared" si="2"/>
        <v>0</v>
      </c>
      <c r="P23" s="25"/>
      <c r="Q23" s="113"/>
      <c r="R23" s="26"/>
      <c r="S23" s="26"/>
      <c r="T23" s="46">
        <f t="shared" si="3"/>
        <v>0</v>
      </c>
      <c r="U23" s="25"/>
    </row>
    <row r="24" spans="1:21">
      <c r="A24" s="123" t="s">
        <v>261</v>
      </c>
      <c r="B24" s="113"/>
      <c r="C24" s="46"/>
      <c r="D24" s="46"/>
      <c r="E24" s="46">
        <f t="shared" si="0"/>
        <v>0</v>
      </c>
      <c r="F24" s="102"/>
      <c r="G24" s="113"/>
      <c r="H24" s="26"/>
      <c r="I24" s="26"/>
      <c r="J24" s="46">
        <f t="shared" si="1"/>
        <v>0</v>
      </c>
      <c r="K24" s="25"/>
      <c r="L24" s="113"/>
      <c r="M24" s="26"/>
      <c r="N24" s="26"/>
      <c r="O24" s="46">
        <f t="shared" si="2"/>
        <v>0</v>
      </c>
      <c r="P24" s="25"/>
      <c r="Q24" s="113"/>
      <c r="R24" s="26"/>
      <c r="S24" s="26"/>
      <c r="T24" s="46">
        <f t="shared" si="3"/>
        <v>0</v>
      </c>
      <c r="U24" s="25"/>
    </row>
    <row r="25" spans="1:21" ht="15" thickBot="1">
      <c r="A25" s="129">
        <v>0</v>
      </c>
      <c r="B25" s="113"/>
      <c r="C25" s="46"/>
      <c r="D25" s="46"/>
      <c r="E25" s="46">
        <f t="shared" si="0"/>
        <v>0</v>
      </c>
      <c r="F25" s="102"/>
      <c r="G25" s="113"/>
      <c r="H25" s="26"/>
      <c r="I25" s="26"/>
      <c r="J25" s="46">
        <f t="shared" si="1"/>
        <v>0</v>
      </c>
      <c r="K25" s="25"/>
      <c r="L25" s="113"/>
      <c r="M25" s="26"/>
      <c r="N25" s="26"/>
      <c r="O25" s="46">
        <f t="shared" si="2"/>
        <v>0</v>
      </c>
      <c r="P25" s="25"/>
      <c r="Q25" s="113"/>
      <c r="R25" s="26"/>
      <c r="S25" s="26"/>
      <c r="T25" s="46">
        <f t="shared" si="3"/>
        <v>0</v>
      </c>
      <c r="U25" s="25"/>
    </row>
    <row r="26" spans="1:21">
      <c r="A26" s="124"/>
      <c r="B26" s="113"/>
      <c r="C26" s="46"/>
      <c r="D26" s="46"/>
      <c r="E26" s="46">
        <f t="shared" si="0"/>
        <v>0</v>
      </c>
      <c r="F26" s="102"/>
      <c r="G26" s="113"/>
      <c r="H26" s="26"/>
      <c r="I26" s="26"/>
      <c r="J26" s="46">
        <f t="shared" si="1"/>
        <v>0</v>
      </c>
      <c r="K26" s="25"/>
      <c r="L26" s="113"/>
      <c r="M26" s="26"/>
      <c r="N26" s="26"/>
      <c r="O26" s="46">
        <f t="shared" si="2"/>
        <v>0</v>
      </c>
      <c r="P26" s="25"/>
      <c r="Q26" s="113"/>
      <c r="R26" s="26"/>
      <c r="S26" s="26"/>
      <c r="T26" s="46">
        <f t="shared" si="3"/>
        <v>0</v>
      </c>
      <c r="U26" s="25"/>
    </row>
    <row r="27" spans="1:21">
      <c r="A27" s="124"/>
      <c r="B27" s="113"/>
      <c r="C27" s="46"/>
      <c r="D27" s="46"/>
      <c r="E27" s="46">
        <f t="shared" si="0"/>
        <v>0</v>
      </c>
      <c r="F27" s="102"/>
      <c r="G27" s="113"/>
      <c r="H27" s="26"/>
      <c r="I27" s="26"/>
      <c r="J27" s="46">
        <f t="shared" si="1"/>
        <v>0</v>
      </c>
      <c r="K27" s="25"/>
      <c r="L27" s="113"/>
      <c r="M27" s="26"/>
      <c r="N27" s="26"/>
      <c r="O27" s="46">
        <f t="shared" si="2"/>
        <v>0</v>
      </c>
      <c r="P27" s="25"/>
      <c r="Q27" s="113"/>
      <c r="R27" s="26"/>
      <c r="S27" s="26"/>
      <c r="T27" s="46">
        <f t="shared" si="3"/>
        <v>0</v>
      </c>
      <c r="U27" s="25"/>
    </row>
    <row r="28" spans="1:21">
      <c r="A28" s="124"/>
      <c r="B28" s="113"/>
      <c r="C28" s="46"/>
      <c r="D28" s="46"/>
      <c r="E28" s="46">
        <f t="shared" si="0"/>
        <v>0</v>
      </c>
      <c r="F28" s="102"/>
      <c r="G28" s="113"/>
      <c r="H28" s="26"/>
      <c r="I28" s="26"/>
      <c r="J28" s="46">
        <f t="shared" si="1"/>
        <v>0</v>
      </c>
      <c r="K28" s="25"/>
      <c r="L28" s="113"/>
      <c r="M28" s="26"/>
      <c r="N28" s="26"/>
      <c r="O28" s="46">
        <f t="shared" si="2"/>
        <v>0</v>
      </c>
      <c r="P28" s="25"/>
      <c r="Q28" s="113"/>
      <c r="R28" s="26"/>
      <c r="S28" s="26"/>
      <c r="T28" s="46">
        <f t="shared" si="3"/>
        <v>0</v>
      </c>
      <c r="U28" s="25"/>
    </row>
    <row r="29" spans="1:21">
      <c r="A29" s="124"/>
      <c r="B29" s="113"/>
      <c r="C29" s="46"/>
      <c r="D29" s="46"/>
      <c r="E29" s="46">
        <f t="shared" si="0"/>
        <v>0</v>
      </c>
      <c r="F29" s="102"/>
      <c r="G29" s="113"/>
      <c r="H29" s="26"/>
      <c r="I29" s="26"/>
      <c r="J29" s="46">
        <f t="shared" si="1"/>
        <v>0</v>
      </c>
      <c r="K29" s="25"/>
      <c r="L29" s="113"/>
      <c r="M29" s="26"/>
      <c r="N29" s="26"/>
      <c r="O29" s="46">
        <f t="shared" si="2"/>
        <v>0</v>
      </c>
      <c r="P29" s="25"/>
      <c r="Q29" s="113"/>
      <c r="R29" s="26"/>
      <c r="S29" s="26"/>
      <c r="T29" s="46">
        <f t="shared" si="3"/>
        <v>0</v>
      </c>
      <c r="U29" s="25"/>
    </row>
    <row r="30" spans="1:21">
      <c r="A30" s="124"/>
      <c r="B30" s="113"/>
      <c r="C30" s="46"/>
      <c r="D30" s="46"/>
      <c r="E30" s="46">
        <f t="shared" si="0"/>
        <v>0</v>
      </c>
      <c r="F30" s="102"/>
      <c r="G30" s="113"/>
      <c r="H30" s="26"/>
      <c r="I30" s="26"/>
      <c r="J30" s="46">
        <f t="shared" si="1"/>
        <v>0</v>
      </c>
      <c r="K30" s="25"/>
      <c r="L30" s="113"/>
      <c r="M30" s="26"/>
      <c r="N30" s="26"/>
      <c r="O30" s="46">
        <f t="shared" si="2"/>
        <v>0</v>
      </c>
      <c r="P30" s="25"/>
      <c r="Q30" s="113"/>
      <c r="R30" s="26"/>
      <c r="S30" s="26"/>
      <c r="T30" s="46">
        <f t="shared" si="3"/>
        <v>0</v>
      </c>
      <c r="U30" s="25"/>
    </row>
    <row r="31" spans="1:21">
      <c r="A31" s="124"/>
      <c r="B31" s="113"/>
      <c r="C31" s="46"/>
      <c r="D31" s="46"/>
      <c r="E31" s="46">
        <f t="shared" si="0"/>
        <v>0</v>
      </c>
      <c r="F31" s="102"/>
      <c r="G31" s="113"/>
      <c r="H31" s="26"/>
      <c r="I31" s="26"/>
      <c r="J31" s="46">
        <f t="shared" si="1"/>
        <v>0</v>
      </c>
      <c r="K31" s="25"/>
      <c r="L31" s="113"/>
      <c r="M31" s="26"/>
      <c r="N31" s="26"/>
      <c r="O31" s="46">
        <f t="shared" si="2"/>
        <v>0</v>
      </c>
      <c r="P31" s="25"/>
      <c r="Q31" s="113"/>
      <c r="R31" s="26"/>
      <c r="S31" s="26"/>
      <c r="T31" s="46">
        <f t="shared" si="3"/>
        <v>0</v>
      </c>
      <c r="U31" s="25"/>
    </row>
    <row r="32" spans="1:21">
      <c r="A32" s="124"/>
      <c r="B32" s="113"/>
      <c r="C32" s="46"/>
      <c r="D32" s="46"/>
      <c r="E32" s="46">
        <f t="shared" si="0"/>
        <v>0</v>
      </c>
      <c r="F32" s="102"/>
      <c r="G32" s="113"/>
      <c r="H32" s="26"/>
      <c r="I32" s="26"/>
      <c r="J32" s="46">
        <f t="shared" si="1"/>
        <v>0</v>
      </c>
      <c r="K32" s="25"/>
      <c r="L32" s="113"/>
      <c r="M32" s="26"/>
      <c r="N32" s="26"/>
      <c r="O32" s="46">
        <f t="shared" si="2"/>
        <v>0</v>
      </c>
      <c r="P32" s="25"/>
      <c r="Q32" s="113"/>
      <c r="R32" s="26"/>
      <c r="S32" s="26"/>
      <c r="T32" s="46">
        <f t="shared" si="3"/>
        <v>0</v>
      </c>
      <c r="U32" s="25"/>
    </row>
    <row r="33" spans="1:21">
      <c r="A33" s="124"/>
      <c r="B33" s="113"/>
      <c r="C33" s="46"/>
      <c r="D33" s="46"/>
      <c r="E33" s="46">
        <f t="shared" si="0"/>
        <v>0</v>
      </c>
      <c r="F33" s="102"/>
      <c r="G33" s="113"/>
      <c r="H33" s="26"/>
      <c r="I33" s="26"/>
      <c r="J33" s="46">
        <f t="shared" si="1"/>
        <v>0</v>
      </c>
      <c r="K33" s="25"/>
      <c r="L33" s="113"/>
      <c r="M33" s="26"/>
      <c r="N33" s="26"/>
      <c r="O33" s="46">
        <f t="shared" si="2"/>
        <v>0</v>
      </c>
      <c r="P33" s="25"/>
      <c r="Q33" s="113"/>
      <c r="R33" s="26"/>
      <c r="S33" s="26"/>
      <c r="T33" s="46">
        <f t="shared" si="3"/>
        <v>0</v>
      </c>
      <c r="U33" s="25"/>
    </row>
    <row r="34" spans="1:21">
      <c r="A34" s="124"/>
      <c r="B34" s="113"/>
      <c r="C34" s="46"/>
      <c r="D34" s="46"/>
      <c r="E34" s="46">
        <f t="shared" si="0"/>
        <v>0</v>
      </c>
      <c r="F34" s="102"/>
      <c r="G34" s="113"/>
      <c r="H34" s="26"/>
      <c r="I34" s="26"/>
      <c r="J34" s="46">
        <f t="shared" si="1"/>
        <v>0</v>
      </c>
      <c r="K34" s="25"/>
      <c r="L34" s="113"/>
      <c r="M34" s="26"/>
      <c r="N34" s="26"/>
      <c r="O34" s="46">
        <f t="shared" si="2"/>
        <v>0</v>
      </c>
      <c r="P34" s="25"/>
      <c r="Q34" s="113"/>
      <c r="R34" s="26"/>
      <c r="S34" s="26"/>
      <c r="T34" s="46">
        <f t="shared" si="3"/>
        <v>0</v>
      </c>
      <c r="U34" s="25"/>
    </row>
    <row r="35" spans="1:21">
      <c r="A35" s="124"/>
      <c r="B35" s="113"/>
      <c r="C35" s="46"/>
      <c r="D35" s="46"/>
      <c r="E35" s="46">
        <f t="shared" si="0"/>
        <v>0</v>
      </c>
      <c r="F35" s="102"/>
      <c r="G35" s="113"/>
      <c r="H35" s="26"/>
      <c r="I35" s="26"/>
      <c r="J35" s="46">
        <f t="shared" si="1"/>
        <v>0</v>
      </c>
      <c r="K35" s="25"/>
      <c r="L35" s="113"/>
      <c r="M35" s="26"/>
      <c r="N35" s="26"/>
      <c r="O35" s="46">
        <f t="shared" si="2"/>
        <v>0</v>
      </c>
      <c r="P35" s="25"/>
      <c r="Q35" s="113"/>
      <c r="R35" s="26"/>
      <c r="S35" s="26"/>
      <c r="T35" s="46">
        <f t="shared" si="3"/>
        <v>0</v>
      </c>
      <c r="U35" s="25"/>
    </row>
    <row r="36" spans="1:21">
      <c r="A36" s="124"/>
      <c r="B36" s="113"/>
      <c r="C36" s="46"/>
      <c r="D36" s="46"/>
      <c r="E36" s="46">
        <f t="shared" si="0"/>
        <v>0</v>
      </c>
      <c r="F36" s="102"/>
      <c r="G36" s="113"/>
      <c r="H36" s="26"/>
      <c r="I36" s="26"/>
      <c r="J36" s="46">
        <f t="shared" si="1"/>
        <v>0</v>
      </c>
      <c r="K36" s="25"/>
      <c r="L36" s="113"/>
      <c r="M36" s="26"/>
      <c r="N36" s="26"/>
      <c r="O36" s="46">
        <f t="shared" si="2"/>
        <v>0</v>
      </c>
      <c r="P36" s="25"/>
      <c r="Q36" s="113"/>
      <c r="R36" s="26"/>
      <c r="S36" s="26"/>
      <c r="T36" s="46">
        <f t="shared" si="3"/>
        <v>0</v>
      </c>
      <c r="U36" s="25"/>
    </row>
    <row r="37" spans="1:21">
      <c r="A37" s="124"/>
      <c r="B37" s="113"/>
      <c r="C37" s="46"/>
      <c r="D37" s="46"/>
      <c r="E37" s="46">
        <f t="shared" si="0"/>
        <v>0</v>
      </c>
      <c r="F37" s="102"/>
      <c r="G37" s="113"/>
      <c r="H37" s="26"/>
      <c r="I37" s="26"/>
      <c r="J37" s="46">
        <f t="shared" si="1"/>
        <v>0</v>
      </c>
      <c r="K37" s="25"/>
      <c r="L37" s="113"/>
      <c r="M37" s="26"/>
      <c r="N37" s="26"/>
      <c r="O37" s="46">
        <f t="shared" si="2"/>
        <v>0</v>
      </c>
      <c r="P37" s="25"/>
      <c r="Q37" s="113"/>
      <c r="R37" s="26"/>
      <c r="S37" s="26"/>
      <c r="T37" s="46">
        <f t="shared" si="3"/>
        <v>0</v>
      </c>
      <c r="U37" s="25"/>
    </row>
    <row r="38" spans="1:21">
      <c r="A38" s="124"/>
      <c r="B38" s="113"/>
      <c r="C38" s="46"/>
      <c r="D38" s="46"/>
      <c r="E38" s="46">
        <f t="shared" si="0"/>
        <v>0</v>
      </c>
      <c r="F38" s="102"/>
      <c r="G38" s="113"/>
      <c r="H38" s="26"/>
      <c r="I38" s="26"/>
      <c r="J38" s="46">
        <f t="shared" si="1"/>
        <v>0</v>
      </c>
      <c r="K38" s="25"/>
      <c r="L38" s="113"/>
      <c r="M38" s="26"/>
      <c r="N38" s="26"/>
      <c r="O38" s="46">
        <f t="shared" si="2"/>
        <v>0</v>
      </c>
      <c r="P38" s="25"/>
      <c r="Q38" s="113"/>
      <c r="R38" s="26"/>
      <c r="S38" s="26"/>
      <c r="T38" s="46">
        <f t="shared" si="3"/>
        <v>0</v>
      </c>
      <c r="U38" s="25"/>
    </row>
    <row r="39" spans="1:21">
      <c r="A39" s="124"/>
      <c r="B39" s="113"/>
      <c r="C39" s="46"/>
      <c r="D39" s="46"/>
      <c r="E39" s="46">
        <f t="shared" si="0"/>
        <v>0</v>
      </c>
      <c r="F39" s="102"/>
      <c r="G39" s="113"/>
      <c r="H39" s="26"/>
      <c r="I39" s="26"/>
      <c r="J39" s="46">
        <f t="shared" si="1"/>
        <v>0</v>
      </c>
      <c r="K39" s="25"/>
      <c r="L39" s="113"/>
      <c r="M39" s="26"/>
      <c r="N39" s="26"/>
      <c r="O39" s="46">
        <f t="shared" si="2"/>
        <v>0</v>
      </c>
      <c r="P39" s="25"/>
      <c r="Q39" s="113"/>
      <c r="R39" s="26"/>
      <c r="S39" s="26"/>
      <c r="T39" s="46">
        <f t="shared" si="3"/>
        <v>0</v>
      </c>
      <c r="U39" s="25"/>
    </row>
    <row r="40" spans="1:21">
      <c r="A40" s="124"/>
      <c r="B40" s="113"/>
      <c r="C40" s="46"/>
      <c r="D40" s="46"/>
      <c r="E40" s="46">
        <f t="shared" si="0"/>
        <v>0</v>
      </c>
      <c r="F40" s="102"/>
      <c r="G40" s="113"/>
      <c r="H40" s="26"/>
      <c r="I40" s="26"/>
      <c r="J40" s="46">
        <f t="shared" si="1"/>
        <v>0</v>
      </c>
      <c r="K40" s="25"/>
      <c r="L40" s="113"/>
      <c r="M40" s="26"/>
      <c r="N40" s="26"/>
      <c r="O40" s="46">
        <f t="shared" si="2"/>
        <v>0</v>
      </c>
      <c r="P40" s="25"/>
      <c r="Q40" s="113"/>
      <c r="R40" s="26"/>
      <c r="S40" s="26"/>
      <c r="T40" s="46">
        <f t="shared" si="3"/>
        <v>0</v>
      </c>
      <c r="U40" s="25"/>
    </row>
    <row r="41" spans="1:21">
      <c r="A41" s="124"/>
      <c r="B41" s="113"/>
      <c r="C41" s="46"/>
      <c r="D41" s="46"/>
      <c r="E41" s="46">
        <f t="shared" si="0"/>
        <v>0</v>
      </c>
      <c r="F41" s="102"/>
      <c r="G41" s="113"/>
      <c r="H41" s="26"/>
      <c r="I41" s="26"/>
      <c r="J41" s="46">
        <f t="shared" si="1"/>
        <v>0</v>
      </c>
      <c r="K41" s="25"/>
      <c r="L41" s="113"/>
      <c r="M41" s="26"/>
      <c r="N41" s="26"/>
      <c r="O41" s="46">
        <f t="shared" si="2"/>
        <v>0</v>
      </c>
      <c r="P41" s="25"/>
      <c r="Q41" s="113"/>
      <c r="R41" s="26"/>
      <c r="S41" s="26"/>
      <c r="T41" s="46">
        <f t="shared" si="3"/>
        <v>0</v>
      </c>
      <c r="U41" s="25"/>
    </row>
    <row r="42" spans="1:21">
      <c r="A42" s="124"/>
      <c r="B42" s="113"/>
      <c r="C42" s="46"/>
      <c r="D42" s="46"/>
      <c r="E42" s="46">
        <f t="shared" si="0"/>
        <v>0</v>
      </c>
      <c r="F42" s="102"/>
      <c r="G42" s="113"/>
      <c r="H42" s="26"/>
      <c r="I42" s="26"/>
      <c r="J42" s="46">
        <f t="shared" si="1"/>
        <v>0</v>
      </c>
      <c r="K42" s="25"/>
      <c r="L42" s="113"/>
      <c r="M42" s="26"/>
      <c r="N42" s="26"/>
      <c r="O42" s="46">
        <f t="shared" si="2"/>
        <v>0</v>
      </c>
      <c r="P42" s="25"/>
      <c r="Q42" s="113"/>
      <c r="R42" s="26"/>
      <c r="S42" s="26"/>
      <c r="T42" s="46">
        <f t="shared" si="3"/>
        <v>0</v>
      </c>
      <c r="U42" s="25"/>
    </row>
    <row r="43" spans="1:21">
      <c r="A43" s="124"/>
      <c r="B43" s="113"/>
      <c r="C43" s="46"/>
      <c r="D43" s="46"/>
      <c r="E43" s="46">
        <f t="shared" si="0"/>
        <v>0</v>
      </c>
      <c r="F43" s="102"/>
      <c r="G43" s="113"/>
      <c r="H43" s="26"/>
      <c r="I43" s="26"/>
      <c r="J43" s="46">
        <f t="shared" si="1"/>
        <v>0</v>
      </c>
      <c r="K43" s="25"/>
      <c r="L43" s="113"/>
      <c r="M43" s="26"/>
      <c r="N43" s="26"/>
      <c r="O43" s="46">
        <f t="shared" si="2"/>
        <v>0</v>
      </c>
      <c r="P43" s="25"/>
      <c r="Q43" s="113"/>
      <c r="R43" s="26"/>
      <c r="S43" s="26"/>
      <c r="T43" s="46">
        <f t="shared" si="3"/>
        <v>0</v>
      </c>
      <c r="U43" s="25"/>
    </row>
    <row r="44" spans="1:21" ht="15" thickBot="1">
      <c r="A44" s="126"/>
      <c r="B44" s="114"/>
      <c r="C44" s="58"/>
      <c r="D44" s="58"/>
      <c r="E44" s="58">
        <f>C44*D44</f>
        <v>0</v>
      </c>
      <c r="F44" s="103"/>
      <c r="G44" s="114"/>
      <c r="H44" s="99"/>
      <c r="I44" s="99"/>
      <c r="J44" s="58">
        <f>H44*I44</f>
        <v>0</v>
      </c>
      <c r="K44" s="100"/>
      <c r="L44" s="114"/>
      <c r="M44" s="99"/>
      <c r="N44" s="99"/>
      <c r="O44" s="58">
        <f>M44*N44</f>
        <v>0</v>
      </c>
      <c r="P44" s="100"/>
      <c r="Q44" s="114"/>
      <c r="R44" s="99"/>
      <c r="S44" s="99"/>
      <c r="T44" s="58">
        <f>R44*S44</f>
        <v>0</v>
      </c>
      <c r="U44" s="100"/>
    </row>
  </sheetData>
  <mergeCells count="5">
    <mergeCell ref="Q2:S2"/>
    <mergeCell ref="A1:U1"/>
    <mergeCell ref="B2:D2"/>
    <mergeCell ref="G2:I2"/>
    <mergeCell ref="L2:N2"/>
  </mergeCells>
  <pageMargins left="0.7" right="0.7" top="0.75" bottom="0.75" header="0.3" footer="0.3"/>
  <pageSetup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vals!$O$14:$O$15</xm:f>
          </x14:formula1>
          <xm:sqref>A12</xm:sqref>
        </x14:dataValidation>
        <x14:dataValidation type="list" allowBlank="1" showInputMessage="1" showErrorMessage="1">
          <x14:formula1>
            <xm:f>vals!$O$14:$O$15</xm:f>
          </x14:formula1>
          <xm:sqref>A14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opLeftCell="C1" zoomScale="125" zoomScaleNormal="125" zoomScalePageLayoutView="125" workbookViewId="0">
      <selection activeCell="Q12" sqref="Q12"/>
    </sheetView>
  </sheetViews>
  <sheetFormatPr baseColWidth="10" defaultColWidth="10.83203125" defaultRowHeight="14" x14ac:dyDescent="0"/>
  <cols>
    <col min="1" max="16384" width="10.83203125" style="6"/>
  </cols>
  <sheetData>
    <row r="2" spans="2:16" ht="15">
      <c r="B2" s="331" t="s">
        <v>485</v>
      </c>
      <c r="C2" s="332"/>
      <c r="D2" s="332"/>
      <c r="E2" s="332"/>
      <c r="F2" s="332"/>
      <c r="G2" s="333"/>
      <c r="H2" s="340" t="s">
        <v>484</v>
      </c>
      <c r="I2" s="340"/>
      <c r="J2" s="340"/>
      <c r="K2" s="340"/>
      <c r="L2" s="340"/>
      <c r="M2" s="340"/>
      <c r="N2" s="340"/>
      <c r="O2" s="340"/>
      <c r="P2" s="340"/>
    </row>
    <row r="3" spans="2:16">
      <c r="B3" s="334"/>
      <c r="C3" s="335"/>
      <c r="D3" s="335"/>
      <c r="E3" s="335"/>
      <c r="F3" s="335"/>
      <c r="G3" s="336"/>
      <c r="H3" s="341"/>
      <c r="I3" s="341"/>
      <c r="J3" s="341"/>
      <c r="K3" s="341"/>
      <c r="L3" s="341"/>
      <c r="M3" s="341"/>
      <c r="N3" s="341"/>
      <c r="O3" s="341"/>
      <c r="P3" s="341"/>
    </row>
    <row r="4" spans="2:16">
      <c r="B4" s="334"/>
      <c r="C4" s="335"/>
      <c r="D4" s="335"/>
      <c r="E4" s="335"/>
      <c r="F4" s="335"/>
      <c r="G4" s="336"/>
      <c r="H4" s="341"/>
      <c r="I4" s="341"/>
      <c r="J4" s="341"/>
      <c r="K4" s="341"/>
      <c r="L4" s="341"/>
      <c r="M4" s="341"/>
      <c r="N4" s="341"/>
      <c r="O4" s="341"/>
      <c r="P4" s="341"/>
    </row>
    <row r="5" spans="2:16">
      <c r="B5" s="334"/>
      <c r="C5" s="335"/>
      <c r="D5" s="335"/>
      <c r="E5" s="335"/>
      <c r="F5" s="335"/>
      <c r="G5" s="336"/>
      <c r="H5" s="341"/>
      <c r="I5" s="341"/>
      <c r="J5" s="341"/>
      <c r="K5" s="341"/>
      <c r="L5" s="341"/>
      <c r="M5" s="341"/>
      <c r="N5" s="341"/>
      <c r="O5" s="341"/>
      <c r="P5" s="341"/>
    </row>
    <row r="6" spans="2:16">
      <c r="B6" s="334"/>
      <c r="C6" s="335"/>
      <c r="D6" s="335"/>
      <c r="E6" s="335"/>
      <c r="F6" s="335"/>
      <c r="G6" s="336"/>
      <c r="H6" s="341"/>
      <c r="I6" s="341"/>
      <c r="J6" s="341"/>
      <c r="K6" s="341"/>
      <c r="L6" s="341"/>
      <c r="M6" s="341"/>
      <c r="N6" s="341"/>
      <c r="O6" s="341"/>
      <c r="P6" s="341"/>
    </row>
    <row r="7" spans="2:16">
      <c r="B7" s="334"/>
      <c r="C7" s="335"/>
      <c r="D7" s="335"/>
      <c r="E7" s="335"/>
      <c r="F7" s="335"/>
      <c r="G7" s="336"/>
      <c r="H7" s="341"/>
      <c r="I7" s="341"/>
      <c r="J7" s="341"/>
      <c r="K7" s="341"/>
      <c r="L7" s="341"/>
      <c r="M7" s="341"/>
      <c r="N7" s="341"/>
      <c r="O7" s="341"/>
      <c r="P7" s="341"/>
    </row>
    <row r="8" spans="2:16">
      <c r="B8" s="334"/>
      <c r="C8" s="335"/>
      <c r="D8" s="335"/>
      <c r="E8" s="335"/>
      <c r="F8" s="335"/>
      <c r="G8" s="336"/>
      <c r="H8" s="341"/>
      <c r="I8" s="341"/>
      <c r="J8" s="341"/>
      <c r="K8" s="341"/>
      <c r="L8" s="341"/>
      <c r="M8" s="341"/>
      <c r="N8" s="341"/>
      <c r="O8" s="341"/>
      <c r="P8" s="341"/>
    </row>
    <row r="9" spans="2:16">
      <c r="B9" s="334"/>
      <c r="C9" s="335"/>
      <c r="D9" s="335"/>
      <c r="E9" s="335"/>
      <c r="F9" s="335"/>
      <c r="G9" s="336"/>
      <c r="H9" s="341"/>
      <c r="I9" s="341"/>
      <c r="J9" s="341"/>
      <c r="K9" s="341"/>
      <c r="L9" s="341"/>
      <c r="M9" s="341"/>
      <c r="N9" s="341"/>
      <c r="O9" s="341"/>
      <c r="P9" s="341"/>
    </row>
    <row r="10" spans="2:16">
      <c r="B10" s="334"/>
      <c r="C10" s="335"/>
      <c r="D10" s="335"/>
      <c r="E10" s="335"/>
      <c r="F10" s="335"/>
      <c r="G10" s="336"/>
      <c r="H10" s="341"/>
      <c r="I10" s="341"/>
      <c r="J10" s="341"/>
      <c r="K10" s="341"/>
      <c r="L10" s="341"/>
      <c r="M10" s="341"/>
      <c r="N10" s="341"/>
      <c r="O10" s="341"/>
      <c r="P10" s="341"/>
    </row>
    <row r="11" spans="2:16">
      <c r="B11" s="334"/>
      <c r="C11" s="335"/>
      <c r="D11" s="335"/>
      <c r="E11" s="335"/>
      <c r="F11" s="335"/>
      <c r="G11" s="336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2:16">
      <c r="B12" s="334"/>
      <c r="C12" s="335"/>
      <c r="D12" s="335"/>
      <c r="E12" s="335"/>
      <c r="F12" s="335"/>
      <c r="G12" s="336"/>
      <c r="H12" s="341"/>
      <c r="I12" s="341"/>
      <c r="J12" s="341"/>
      <c r="K12" s="341"/>
      <c r="L12" s="341"/>
      <c r="M12" s="341"/>
      <c r="N12" s="341"/>
      <c r="O12" s="341"/>
      <c r="P12" s="341"/>
    </row>
    <row r="13" spans="2:16">
      <c r="B13" s="334"/>
      <c r="C13" s="335"/>
      <c r="D13" s="335"/>
      <c r="E13" s="335"/>
      <c r="F13" s="335"/>
      <c r="G13" s="336"/>
      <c r="H13" s="341"/>
      <c r="I13" s="341"/>
      <c r="J13" s="341"/>
      <c r="K13" s="341"/>
      <c r="L13" s="341"/>
      <c r="M13" s="341"/>
      <c r="N13" s="341"/>
      <c r="O13" s="341"/>
      <c r="P13" s="341"/>
    </row>
    <row r="14" spans="2:16" ht="15">
      <c r="B14" s="334"/>
      <c r="C14" s="335"/>
      <c r="D14" s="335"/>
      <c r="E14" s="335"/>
      <c r="F14" s="335"/>
      <c r="G14" s="336"/>
      <c r="H14" s="340" t="s">
        <v>480</v>
      </c>
      <c r="I14" s="340"/>
      <c r="J14" s="340"/>
      <c r="K14" s="340"/>
      <c r="L14" s="340"/>
      <c r="M14" s="340"/>
      <c r="N14" s="340"/>
      <c r="O14" s="340"/>
      <c r="P14" s="340"/>
    </row>
    <row r="15" spans="2:16">
      <c r="B15" s="334"/>
      <c r="C15" s="335"/>
      <c r="D15" s="335"/>
      <c r="E15" s="335"/>
      <c r="F15" s="335"/>
      <c r="G15" s="336"/>
      <c r="H15" s="341"/>
      <c r="I15" s="341"/>
      <c r="J15" s="341"/>
      <c r="K15" s="341"/>
      <c r="L15" s="341"/>
      <c r="M15" s="341"/>
      <c r="N15" s="341"/>
      <c r="O15" s="341"/>
      <c r="P15" s="341"/>
    </row>
    <row r="16" spans="2:16">
      <c r="B16" s="334"/>
      <c r="C16" s="335"/>
      <c r="D16" s="335"/>
      <c r="E16" s="335"/>
      <c r="F16" s="335"/>
      <c r="G16" s="336"/>
      <c r="H16" s="341"/>
      <c r="I16" s="341"/>
      <c r="J16" s="341"/>
      <c r="K16" s="341"/>
      <c r="L16" s="341"/>
      <c r="M16" s="341"/>
      <c r="N16" s="341"/>
      <c r="O16" s="341"/>
      <c r="P16" s="341"/>
    </row>
    <row r="17" spans="2:16">
      <c r="B17" s="334"/>
      <c r="C17" s="335"/>
      <c r="D17" s="335"/>
      <c r="E17" s="335"/>
      <c r="F17" s="335"/>
      <c r="G17" s="336"/>
      <c r="H17" s="341"/>
      <c r="I17" s="341"/>
      <c r="J17" s="341"/>
      <c r="K17" s="341"/>
      <c r="L17" s="341"/>
      <c r="M17" s="341"/>
      <c r="N17" s="341"/>
      <c r="O17" s="341"/>
      <c r="P17" s="341"/>
    </row>
    <row r="18" spans="2:16">
      <c r="B18" s="334"/>
      <c r="C18" s="335"/>
      <c r="D18" s="335"/>
      <c r="E18" s="335"/>
      <c r="F18" s="335"/>
      <c r="G18" s="336"/>
      <c r="H18" s="341"/>
      <c r="I18" s="341"/>
      <c r="J18" s="341"/>
      <c r="K18" s="341"/>
      <c r="L18" s="341"/>
      <c r="M18" s="341"/>
      <c r="N18" s="341"/>
      <c r="O18" s="341"/>
      <c r="P18" s="341"/>
    </row>
    <row r="19" spans="2:16" ht="15">
      <c r="B19" s="334"/>
      <c r="C19" s="335"/>
      <c r="D19" s="335"/>
      <c r="E19" s="335"/>
      <c r="F19" s="335"/>
      <c r="G19" s="336"/>
      <c r="H19" s="342" t="s">
        <v>481</v>
      </c>
      <c r="I19" s="342"/>
      <c r="J19" s="342"/>
      <c r="K19" s="342"/>
      <c r="L19" s="342"/>
      <c r="M19" s="342"/>
      <c r="N19" s="342"/>
      <c r="O19" s="342"/>
      <c r="P19" s="342"/>
    </row>
    <row r="20" spans="2:16">
      <c r="B20" s="334"/>
      <c r="C20" s="335"/>
      <c r="D20" s="335"/>
      <c r="E20" s="335"/>
      <c r="F20" s="335"/>
      <c r="G20" s="336"/>
      <c r="H20" s="341"/>
      <c r="I20" s="341"/>
      <c r="J20" s="341"/>
      <c r="K20" s="341"/>
      <c r="L20" s="341"/>
      <c r="M20" s="341"/>
      <c r="N20" s="341"/>
      <c r="O20" s="341"/>
      <c r="P20" s="341"/>
    </row>
    <row r="21" spans="2:16">
      <c r="B21" s="334"/>
      <c r="C21" s="335"/>
      <c r="D21" s="335"/>
      <c r="E21" s="335"/>
      <c r="F21" s="335"/>
      <c r="G21" s="336"/>
      <c r="H21" s="341"/>
      <c r="I21" s="341"/>
      <c r="J21" s="341"/>
      <c r="K21" s="341"/>
      <c r="L21" s="341"/>
      <c r="M21" s="341"/>
      <c r="N21" s="341"/>
      <c r="O21" s="341"/>
      <c r="P21" s="341"/>
    </row>
    <row r="22" spans="2:16">
      <c r="B22" s="334"/>
      <c r="C22" s="335"/>
      <c r="D22" s="335"/>
      <c r="E22" s="335"/>
      <c r="F22" s="335"/>
      <c r="G22" s="336"/>
      <c r="H22" s="341"/>
      <c r="I22" s="341"/>
      <c r="J22" s="341"/>
      <c r="K22" s="341"/>
      <c r="L22" s="341"/>
      <c r="M22" s="341"/>
      <c r="N22" s="341"/>
      <c r="O22" s="341"/>
      <c r="P22" s="341"/>
    </row>
    <row r="23" spans="2:16">
      <c r="B23" s="334"/>
      <c r="C23" s="335"/>
      <c r="D23" s="335"/>
      <c r="E23" s="335"/>
      <c r="F23" s="335"/>
      <c r="G23" s="336"/>
      <c r="H23" s="341"/>
      <c r="I23" s="341"/>
      <c r="J23" s="341"/>
      <c r="K23" s="341"/>
      <c r="L23" s="341"/>
      <c r="M23" s="341"/>
      <c r="N23" s="341"/>
      <c r="O23" s="341"/>
      <c r="P23" s="341"/>
    </row>
    <row r="24" spans="2:16" ht="15">
      <c r="B24" s="334"/>
      <c r="C24" s="335"/>
      <c r="D24" s="335"/>
      <c r="E24" s="335"/>
      <c r="F24" s="335"/>
      <c r="G24" s="336"/>
      <c r="H24" s="342" t="s">
        <v>482</v>
      </c>
      <c r="I24" s="342"/>
      <c r="J24" s="342"/>
      <c r="K24" s="342"/>
      <c r="L24" s="342"/>
      <c r="M24" s="342"/>
      <c r="N24" s="342"/>
      <c r="O24" s="342"/>
      <c r="P24" s="342"/>
    </row>
    <row r="25" spans="2:16">
      <c r="B25" s="334"/>
      <c r="C25" s="335"/>
      <c r="D25" s="335"/>
      <c r="E25" s="335"/>
      <c r="F25" s="335"/>
      <c r="G25" s="336"/>
      <c r="H25" s="341"/>
      <c r="I25" s="341"/>
      <c r="J25" s="341"/>
      <c r="K25" s="341"/>
      <c r="L25" s="341"/>
      <c r="M25" s="341"/>
      <c r="N25" s="341"/>
      <c r="O25" s="341"/>
      <c r="P25" s="341"/>
    </row>
    <row r="26" spans="2:16">
      <c r="B26" s="334"/>
      <c r="C26" s="335"/>
      <c r="D26" s="335"/>
      <c r="E26" s="335"/>
      <c r="F26" s="335"/>
      <c r="G26" s="336"/>
      <c r="H26" s="341"/>
      <c r="I26" s="341"/>
      <c r="J26" s="341"/>
      <c r="K26" s="341"/>
      <c r="L26" s="341"/>
      <c r="M26" s="341"/>
      <c r="N26" s="341"/>
      <c r="O26" s="341"/>
      <c r="P26" s="341"/>
    </row>
    <row r="27" spans="2:16">
      <c r="B27" s="334"/>
      <c r="C27" s="335"/>
      <c r="D27" s="335"/>
      <c r="E27" s="335"/>
      <c r="F27" s="335"/>
      <c r="G27" s="336"/>
      <c r="H27" s="341"/>
      <c r="I27" s="341"/>
      <c r="J27" s="341"/>
      <c r="K27" s="341"/>
      <c r="L27" s="341"/>
      <c r="M27" s="341"/>
      <c r="N27" s="341"/>
      <c r="O27" s="341"/>
      <c r="P27" s="341"/>
    </row>
    <row r="28" spans="2:16">
      <c r="B28" s="334"/>
      <c r="C28" s="335"/>
      <c r="D28" s="335"/>
      <c r="E28" s="335"/>
      <c r="F28" s="335"/>
      <c r="G28" s="336"/>
      <c r="H28" s="341"/>
      <c r="I28" s="341"/>
      <c r="J28" s="341"/>
      <c r="K28" s="341"/>
      <c r="L28" s="341"/>
      <c r="M28" s="341"/>
      <c r="N28" s="341"/>
      <c r="O28" s="341"/>
      <c r="P28" s="341"/>
    </row>
    <row r="29" spans="2:16" ht="15">
      <c r="B29" s="334"/>
      <c r="C29" s="335"/>
      <c r="D29" s="335"/>
      <c r="E29" s="335"/>
      <c r="F29" s="335"/>
      <c r="G29" s="336"/>
      <c r="H29" s="342" t="s">
        <v>483</v>
      </c>
      <c r="I29" s="342"/>
      <c r="J29" s="342"/>
      <c r="K29" s="342"/>
      <c r="L29" s="342"/>
      <c r="M29" s="342"/>
      <c r="N29" s="342"/>
      <c r="O29" s="342"/>
      <c r="P29" s="342"/>
    </row>
    <row r="30" spans="2:16">
      <c r="B30" s="334"/>
      <c r="C30" s="335"/>
      <c r="D30" s="335"/>
      <c r="E30" s="335"/>
      <c r="F30" s="335"/>
      <c r="G30" s="336"/>
      <c r="H30" s="341"/>
      <c r="I30" s="341"/>
      <c r="J30" s="341"/>
      <c r="K30" s="341"/>
      <c r="L30" s="341"/>
      <c r="M30" s="341"/>
      <c r="N30" s="341"/>
      <c r="O30" s="341"/>
      <c r="P30" s="341"/>
    </row>
    <row r="31" spans="2:16">
      <c r="B31" s="334"/>
      <c r="C31" s="335"/>
      <c r="D31" s="335"/>
      <c r="E31" s="335"/>
      <c r="F31" s="335"/>
      <c r="G31" s="336"/>
      <c r="H31" s="341"/>
      <c r="I31" s="341"/>
      <c r="J31" s="341"/>
      <c r="K31" s="341"/>
      <c r="L31" s="341"/>
      <c r="M31" s="341"/>
      <c r="N31" s="341"/>
      <c r="O31" s="341"/>
      <c r="P31" s="341"/>
    </row>
    <row r="32" spans="2:16">
      <c r="B32" s="334"/>
      <c r="C32" s="335"/>
      <c r="D32" s="335"/>
      <c r="E32" s="335"/>
      <c r="F32" s="335"/>
      <c r="G32" s="336"/>
      <c r="H32" s="341"/>
      <c r="I32" s="341"/>
      <c r="J32" s="341"/>
      <c r="K32" s="341"/>
      <c r="L32" s="341"/>
      <c r="M32" s="341"/>
      <c r="N32" s="341"/>
      <c r="O32" s="341"/>
      <c r="P32" s="341"/>
    </row>
    <row r="33" spans="2:16">
      <c r="B33" s="337"/>
      <c r="C33" s="338"/>
      <c r="D33" s="338"/>
      <c r="E33" s="338"/>
      <c r="F33" s="338"/>
      <c r="G33" s="339"/>
      <c r="H33" s="341"/>
      <c r="I33" s="341"/>
      <c r="J33" s="341"/>
      <c r="K33" s="341"/>
      <c r="L33" s="341"/>
      <c r="M33" s="341"/>
      <c r="N33" s="341"/>
      <c r="O33" s="341"/>
      <c r="P33" s="341"/>
    </row>
  </sheetData>
  <mergeCells count="11">
    <mergeCell ref="B2:G33"/>
    <mergeCell ref="H2:P2"/>
    <mergeCell ref="H3:P13"/>
    <mergeCell ref="H15:P18"/>
    <mergeCell ref="H14:P14"/>
    <mergeCell ref="H30:P33"/>
    <mergeCell ref="H29:P29"/>
    <mergeCell ref="H25:P28"/>
    <mergeCell ref="H24:P24"/>
    <mergeCell ref="H20:P23"/>
    <mergeCell ref="H19:P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A41" sqref="A41:N41"/>
    </sheetView>
  </sheetViews>
  <sheetFormatPr baseColWidth="10" defaultColWidth="8.83203125" defaultRowHeight="14" x14ac:dyDescent="0"/>
  <sheetData>
    <row r="1" spans="1:14" ht="15">
      <c r="A1" s="202" t="s">
        <v>253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</row>
    <row r="2" spans="1:14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</row>
    <row r="3" spans="1:14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3"/>
    </row>
    <row r="4" spans="1:14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</row>
    <row r="5" spans="1:14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</row>
    <row r="6" spans="1:14">
      <c r="A6" s="171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1:14">
      <c r="A7" s="171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1:14">
      <c r="A8" s="171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3"/>
    </row>
    <row r="9" spans="1:14">
      <c r="A9" s="171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3"/>
    </row>
    <row r="10" spans="1:14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3"/>
    </row>
    <row r="11" spans="1:14">
      <c r="A11" s="17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3"/>
    </row>
    <row r="12" spans="1:14">
      <c r="A12" s="171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3"/>
    </row>
    <row r="13" spans="1:14">
      <c r="A13" s="171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3"/>
    </row>
    <row r="14" spans="1:14">
      <c r="A14" s="171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</row>
    <row r="15" spans="1:14">
      <c r="A15" s="171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3"/>
    </row>
    <row r="16" spans="1:14">
      <c r="A16" s="171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3"/>
    </row>
    <row r="17" spans="1:14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3"/>
    </row>
    <row r="18" spans="1:14">
      <c r="A18" s="171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3"/>
    </row>
    <row r="19" spans="1:14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3"/>
    </row>
    <row r="20" spans="1:14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3"/>
    </row>
    <row r="21" spans="1:14">
      <c r="A21" s="171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3"/>
    </row>
    <row r="22" spans="1:14">
      <c r="A22" s="171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3"/>
    </row>
    <row r="23" spans="1:14">
      <c r="A23" s="171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3"/>
    </row>
    <row r="24" spans="1:14">
      <c r="A24" s="17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3"/>
    </row>
    <row r="25" spans="1:14">
      <c r="A25" s="171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3"/>
    </row>
    <row r="26" spans="1:14">
      <c r="A26" s="171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3"/>
    </row>
    <row r="27" spans="1:14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3"/>
    </row>
    <row r="28" spans="1:14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3"/>
    </row>
    <row r="29" spans="1:14">
      <c r="A29" s="171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3"/>
    </row>
    <row r="30" spans="1:14">
      <c r="A30" s="171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3"/>
    </row>
    <row r="31" spans="1:14">
      <c r="A31" s="171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3"/>
    </row>
    <row r="32" spans="1:14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3"/>
    </row>
    <row r="33" spans="1:14">
      <c r="A33" s="171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</row>
    <row r="34" spans="1:14">
      <c r="A34" s="171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3"/>
    </row>
    <row r="35" spans="1:14">
      <c r="A35" s="17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3"/>
    </row>
    <row r="36" spans="1:1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3"/>
    </row>
    <row r="37" spans="1:14">
      <c r="A37" s="171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3"/>
    </row>
    <row r="38" spans="1:14">
      <c r="A38" s="171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3"/>
    </row>
    <row r="39" spans="1:14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3"/>
    </row>
    <row r="40" spans="1:14">
      <c r="A40" s="171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3"/>
    </row>
    <row r="41" spans="1:14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</row>
    <row r="42" spans="1:14">
      <c r="A42" s="171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3"/>
    </row>
    <row r="43" spans="1:14">
      <c r="A43" s="171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3"/>
    </row>
    <row r="44" spans="1:14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3"/>
    </row>
    <row r="45" spans="1:14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3"/>
    </row>
    <row r="46" spans="1:14">
      <c r="A46" s="171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3"/>
    </row>
    <row r="47" spans="1:14">
      <c r="A47" s="171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3"/>
    </row>
    <row r="48" spans="1:14">
      <c r="A48" s="171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3"/>
    </row>
    <row r="49" spans="1:14">
      <c r="A49" s="171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</row>
    <row r="51" spans="1:14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3"/>
    </row>
    <row r="52" spans="1:14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  <row r="53" spans="1:14">
      <c r="A53" s="171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3"/>
    </row>
    <row r="54" spans="1:14">
      <c r="A54" s="171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3"/>
    </row>
    <row r="55" spans="1:14">
      <c r="A55" s="171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3"/>
    </row>
    <row r="56" spans="1:14">
      <c r="A56" s="171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3"/>
    </row>
    <row r="57" spans="1:14">
      <c r="A57" s="171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3"/>
    </row>
    <row r="58" spans="1:14">
      <c r="A58" s="171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3"/>
    </row>
    <row r="59" spans="1:14">
      <c r="A59" s="17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3"/>
    </row>
    <row r="60" spans="1:14">
      <c r="A60" s="171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3"/>
    </row>
    <row r="61" spans="1:14">
      <c r="A61" s="171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3"/>
    </row>
    <row r="62" spans="1:14">
      <c r="A62" s="171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3"/>
    </row>
    <row r="63" spans="1:14">
      <c r="A63" s="171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3"/>
    </row>
    <row r="64" spans="1:14">
      <c r="A64" s="171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3"/>
    </row>
    <row r="65" spans="1:14">
      <c r="A65" s="171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3"/>
    </row>
    <row r="66" spans="1:14" ht="15" thickBot="1">
      <c r="A66" s="290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9"/>
    </row>
  </sheetData>
  <mergeCells count="66">
    <mergeCell ref="A63:N63"/>
    <mergeCell ref="A64:N64"/>
    <mergeCell ref="A65:N65"/>
    <mergeCell ref="A66:N66"/>
    <mergeCell ref="A57:N57"/>
    <mergeCell ref="A58:N58"/>
    <mergeCell ref="A59:N59"/>
    <mergeCell ref="A60:N60"/>
    <mergeCell ref="A61:N61"/>
    <mergeCell ref="A62:N62"/>
    <mergeCell ref="A56:N56"/>
    <mergeCell ref="A45:N45"/>
    <mergeCell ref="A46:N46"/>
    <mergeCell ref="A47:N47"/>
    <mergeCell ref="A48:N48"/>
    <mergeCell ref="A49:N49"/>
    <mergeCell ref="A50:N50"/>
    <mergeCell ref="A51:N51"/>
    <mergeCell ref="A52:N52"/>
    <mergeCell ref="A53:N53"/>
    <mergeCell ref="A54:N54"/>
    <mergeCell ref="A55:N55"/>
    <mergeCell ref="A44:N44"/>
    <mergeCell ref="A33:N33"/>
    <mergeCell ref="A34:N34"/>
    <mergeCell ref="A35:N35"/>
    <mergeCell ref="A36:N36"/>
    <mergeCell ref="A37:N37"/>
    <mergeCell ref="A38:N38"/>
    <mergeCell ref="A39:N39"/>
    <mergeCell ref="A40:N40"/>
    <mergeCell ref="A41:N41"/>
    <mergeCell ref="A42:N42"/>
    <mergeCell ref="A43:N43"/>
    <mergeCell ref="A32:N32"/>
    <mergeCell ref="A21:N21"/>
    <mergeCell ref="A22:N22"/>
    <mergeCell ref="A23:N23"/>
    <mergeCell ref="A24:N24"/>
    <mergeCell ref="A25:N25"/>
    <mergeCell ref="A26:N26"/>
    <mergeCell ref="A27:N27"/>
    <mergeCell ref="A28:N28"/>
    <mergeCell ref="A29:N29"/>
    <mergeCell ref="A30:N30"/>
    <mergeCell ref="A31:N31"/>
    <mergeCell ref="A20:N20"/>
    <mergeCell ref="A9:N9"/>
    <mergeCell ref="A10:N10"/>
    <mergeCell ref="A11:N11"/>
    <mergeCell ref="A12:N12"/>
    <mergeCell ref="A13:N13"/>
    <mergeCell ref="A14:N14"/>
    <mergeCell ref="A15:N15"/>
    <mergeCell ref="A16:N16"/>
    <mergeCell ref="A17:N17"/>
    <mergeCell ref="A18:N18"/>
    <mergeCell ref="A19:N19"/>
    <mergeCell ref="A8:N8"/>
    <mergeCell ref="A1:N1"/>
    <mergeCell ref="A2:N2"/>
    <mergeCell ref="A3:N3"/>
    <mergeCell ref="A4:N4"/>
    <mergeCell ref="A5:N5"/>
    <mergeCell ref="A6:N6"/>
    <mergeCell ref="A7:N7"/>
  </mergeCells>
  <printOptions gridLines="1"/>
  <pageMargins left="0.7" right="0.7" top="0.75" bottom="0.75" header="0.3" footer="0.3"/>
  <pageSetup scale="7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5"/>
  <sheetViews>
    <sheetView topLeftCell="W5" zoomScale="125" zoomScaleNormal="125" zoomScalePageLayoutView="125" workbookViewId="0">
      <selection activeCell="Z12" sqref="Z12"/>
    </sheetView>
  </sheetViews>
  <sheetFormatPr baseColWidth="10" defaultColWidth="8.83203125" defaultRowHeight="14" x14ac:dyDescent="0"/>
  <cols>
    <col min="1" max="1" width="23.5" bestFit="1" customWidth="1"/>
    <col min="2" max="5" width="8.83203125" style="3"/>
    <col min="6" max="6" width="8.83203125" style="162"/>
    <col min="7" max="7" width="8.83203125" style="161"/>
    <col min="8" max="8" width="8.83203125" style="162"/>
    <col min="9" max="9" width="8.83203125" style="165"/>
    <col min="10" max="10" width="11.1640625" bestFit="1" customWidth="1"/>
    <col min="11" max="11" width="8.6640625" bestFit="1" customWidth="1"/>
    <col min="13" max="13" width="8.83203125" style="6"/>
    <col min="17" max="17" width="26.5" bestFit="1" customWidth="1"/>
    <col min="19" max="19" width="20.1640625" bestFit="1" customWidth="1"/>
    <col min="20" max="20" width="18.6640625" bestFit="1" customWidth="1"/>
    <col min="21" max="22" width="22.33203125" bestFit="1" customWidth="1"/>
    <col min="23" max="23" width="23.1640625" bestFit="1" customWidth="1"/>
    <col min="24" max="24" width="18.6640625" bestFit="1" customWidth="1"/>
    <col min="25" max="25" width="22.1640625" bestFit="1" customWidth="1"/>
    <col min="26" max="26" width="23.5" bestFit="1" customWidth="1"/>
    <col min="27" max="27" width="22.1640625" bestFit="1" customWidth="1"/>
    <col min="28" max="28" width="20.83203125" bestFit="1" customWidth="1"/>
    <col min="29" max="29" width="20.1640625" bestFit="1" customWidth="1"/>
    <col min="30" max="30" width="23.1640625" bestFit="1" customWidth="1"/>
    <col min="31" max="31" width="20.1640625" bestFit="1" customWidth="1"/>
    <col min="32" max="32" width="20.83203125" bestFit="1" customWidth="1"/>
    <col min="33" max="33" width="23.1640625" bestFit="1" customWidth="1"/>
    <col min="34" max="36" width="20.83203125" bestFit="1" customWidth="1"/>
    <col min="37" max="37" width="23.5" bestFit="1" customWidth="1"/>
    <col min="38" max="38" width="20.1640625" bestFit="1" customWidth="1"/>
    <col min="39" max="40" width="20.83203125" bestFit="1" customWidth="1"/>
    <col min="41" max="41" width="23.5" bestFit="1" customWidth="1"/>
    <col min="42" max="42" width="20.83203125" bestFit="1" customWidth="1"/>
    <col min="43" max="43" width="23.5" bestFit="1" customWidth="1"/>
    <col min="44" max="44" width="16" bestFit="1" customWidth="1"/>
    <col min="45" max="46" width="20.83203125" bestFit="1" customWidth="1"/>
    <col min="47" max="47" width="21.5" bestFit="1" customWidth="1"/>
    <col min="48" max="48" width="22.33203125" bestFit="1" customWidth="1"/>
    <col min="49" max="49" width="20.83203125" bestFit="1" customWidth="1"/>
    <col min="50" max="50" width="23.5" bestFit="1" customWidth="1"/>
    <col min="51" max="51" width="23.1640625" bestFit="1" customWidth="1"/>
    <col min="52" max="52" width="22.33203125" bestFit="1" customWidth="1"/>
    <col min="53" max="53" width="23.1640625" bestFit="1" customWidth="1"/>
    <col min="59" max="59" width="20.83203125" bestFit="1" customWidth="1"/>
  </cols>
  <sheetData>
    <row r="1" spans="1:68" ht="18">
      <c r="A1" s="1" t="s">
        <v>40</v>
      </c>
      <c r="B1" s="2" t="s">
        <v>43</v>
      </c>
      <c r="C1" s="2" t="s">
        <v>41</v>
      </c>
      <c r="D1" s="2" t="s">
        <v>42</v>
      </c>
      <c r="E1" s="2" t="s">
        <v>56</v>
      </c>
      <c r="F1" s="161" t="s">
        <v>88</v>
      </c>
      <c r="G1" s="161" t="s">
        <v>90</v>
      </c>
      <c r="H1" s="161" t="s">
        <v>89</v>
      </c>
      <c r="I1" s="163" t="s">
        <v>519</v>
      </c>
      <c r="J1" s="343" t="s">
        <v>92</v>
      </c>
      <c r="K1" s="343"/>
      <c r="L1" s="343"/>
      <c r="M1" s="343"/>
      <c r="N1" s="343"/>
      <c r="O1" s="343"/>
      <c r="Q1" s="7" t="s">
        <v>179</v>
      </c>
      <c r="S1" s="84" t="s">
        <v>199</v>
      </c>
    </row>
    <row r="2" spans="1:68">
      <c r="A2" t="s">
        <v>94</v>
      </c>
      <c r="B2" s="3">
        <v>0.5</v>
      </c>
      <c r="C2" s="3">
        <v>4</v>
      </c>
      <c r="D2" s="3">
        <v>4</v>
      </c>
      <c r="E2" s="3">
        <v>2</v>
      </c>
      <c r="F2" s="160">
        <v>0.33333333333333331</v>
      </c>
      <c r="G2" s="160">
        <v>0.33333333333333331</v>
      </c>
      <c r="H2" s="160">
        <v>0.5</v>
      </c>
      <c r="I2" s="164">
        <v>2</v>
      </c>
      <c r="J2" t="s">
        <v>184</v>
      </c>
      <c r="Q2" s="6" t="s">
        <v>94</v>
      </c>
      <c r="S2" s="7" t="s">
        <v>134</v>
      </c>
      <c r="T2" s="7" t="s">
        <v>135</v>
      </c>
      <c r="U2" s="7" t="s">
        <v>136</v>
      </c>
      <c r="V2" s="7" t="s">
        <v>137</v>
      </c>
      <c r="W2" s="7" t="s">
        <v>138</v>
      </c>
      <c r="X2" s="7" t="s">
        <v>139</v>
      </c>
      <c r="Y2" s="7" t="s">
        <v>140</v>
      </c>
      <c r="Z2" s="7" t="s">
        <v>141</v>
      </c>
      <c r="AA2" s="7" t="s">
        <v>142</v>
      </c>
      <c r="AB2" s="7" t="s">
        <v>143</v>
      </c>
      <c r="AC2" s="7" t="s">
        <v>144</v>
      </c>
      <c r="AD2" s="7" t="s">
        <v>145</v>
      </c>
      <c r="AE2" s="7" t="s">
        <v>146</v>
      </c>
      <c r="AF2" s="7" t="s">
        <v>187</v>
      </c>
      <c r="AG2" s="7" t="s">
        <v>188</v>
      </c>
      <c r="AH2" s="7" t="s">
        <v>189</v>
      </c>
      <c r="AI2" s="7" t="s">
        <v>190</v>
      </c>
      <c r="AJ2" s="7" t="s">
        <v>191</v>
      </c>
      <c r="AK2" s="7" t="s">
        <v>192</v>
      </c>
      <c r="AL2" s="7" t="s">
        <v>193</v>
      </c>
      <c r="AM2" s="7" t="s">
        <v>194</v>
      </c>
      <c r="AN2" s="7" t="s">
        <v>195</v>
      </c>
      <c r="AO2" s="7" t="s">
        <v>196</v>
      </c>
      <c r="AP2" s="7" t="s">
        <v>157</v>
      </c>
      <c r="AQ2" s="7" t="s">
        <v>158</v>
      </c>
      <c r="AR2" s="7" t="s">
        <v>159</v>
      </c>
      <c r="AS2" s="7" t="s">
        <v>160</v>
      </c>
      <c r="AT2" s="7" t="s">
        <v>161</v>
      </c>
      <c r="AU2" s="7" t="s">
        <v>162</v>
      </c>
      <c r="AV2" s="7" t="s">
        <v>163</v>
      </c>
      <c r="AW2" s="7" t="s">
        <v>164</v>
      </c>
      <c r="AX2" s="7" t="s">
        <v>197</v>
      </c>
      <c r="AY2" s="7" t="s">
        <v>165</v>
      </c>
      <c r="AZ2" s="7" t="s">
        <v>166</v>
      </c>
      <c r="BA2" s="7" t="s">
        <v>167</v>
      </c>
      <c r="BD2" s="57" t="s">
        <v>134</v>
      </c>
      <c r="BE2" s="43" t="str">
        <f>IF(OR(ISNUMBER(MATCH(class,vals!S:S,0)),ISNUMBER(MATCH(class2,vals!S:S,0)),ISNUMBER(MATCH(class3,vals!S:S,0))),"X","")</f>
        <v/>
      </c>
      <c r="BG2" s="7" t="s">
        <v>48</v>
      </c>
      <c r="BH2" s="7" t="s">
        <v>123</v>
      </c>
      <c r="BI2" s="7" t="s">
        <v>69</v>
      </c>
      <c r="BJ2" s="7" t="s">
        <v>128</v>
      </c>
      <c r="BK2" s="7" t="s">
        <v>129</v>
      </c>
      <c r="BL2" s="7" t="s">
        <v>130</v>
      </c>
      <c r="BM2" s="7" t="s">
        <v>131</v>
      </c>
      <c r="BO2" s="7" t="s">
        <v>61</v>
      </c>
      <c r="BP2">
        <f>VLOOKUP(Race, vals!BG3:BI92, 2, 0)</f>
        <v>0</v>
      </c>
    </row>
    <row r="3" spans="1:68">
      <c r="A3" t="s">
        <v>10</v>
      </c>
      <c r="B3" s="3">
        <v>0.75</v>
      </c>
      <c r="C3" s="3">
        <v>8</v>
      </c>
      <c r="D3" s="3">
        <f>C3/2+1</f>
        <v>5</v>
      </c>
      <c r="E3" s="3">
        <v>4</v>
      </c>
      <c r="F3" s="160">
        <v>0.5</v>
      </c>
      <c r="G3" s="160">
        <v>0.5</v>
      </c>
      <c r="H3" s="160">
        <v>0.33333333333333331</v>
      </c>
      <c r="I3" s="164">
        <v>2</v>
      </c>
      <c r="J3" s="4" t="s">
        <v>43</v>
      </c>
      <c r="K3" s="3">
        <f>INDEX($A:$E,MATCH(class,vals!$A:$A,),2)</f>
        <v>1</v>
      </c>
      <c r="N3" s="1" t="s">
        <v>77</v>
      </c>
      <c r="O3">
        <v>8</v>
      </c>
      <c r="Q3" s="6" t="s">
        <v>10</v>
      </c>
      <c r="S3" s="6" t="s">
        <v>0</v>
      </c>
      <c r="T3" s="6" t="s">
        <v>10</v>
      </c>
      <c r="U3" s="6" t="s">
        <v>1</v>
      </c>
      <c r="V3" s="6" t="s">
        <v>0</v>
      </c>
      <c r="W3" s="6" t="s">
        <v>10</v>
      </c>
      <c r="X3" s="6" t="s">
        <v>1</v>
      </c>
      <c r="Y3" s="6" t="s">
        <v>10</v>
      </c>
      <c r="Z3" s="6" t="s">
        <v>1</v>
      </c>
      <c r="AA3" s="6" t="s">
        <v>1</v>
      </c>
      <c r="AB3" s="6" t="s">
        <v>10</v>
      </c>
      <c r="AC3" s="6" t="s">
        <v>0</v>
      </c>
      <c r="AD3" s="6" t="s">
        <v>10</v>
      </c>
      <c r="AE3" s="6" t="s">
        <v>0</v>
      </c>
      <c r="AF3" s="6" t="s">
        <v>10</v>
      </c>
      <c r="AG3" s="6" t="s">
        <v>1</v>
      </c>
      <c r="AH3" s="6" t="s">
        <v>1</v>
      </c>
      <c r="AI3" s="6" t="s">
        <v>1</v>
      </c>
      <c r="AJ3" s="6" t="s">
        <v>1</v>
      </c>
      <c r="AK3" s="6" t="s">
        <v>1</v>
      </c>
      <c r="AL3" s="6" t="s">
        <v>10</v>
      </c>
      <c r="AM3" s="6" t="s">
        <v>1</v>
      </c>
      <c r="AN3" s="6" t="s">
        <v>1</v>
      </c>
      <c r="AO3" s="6" t="s">
        <v>1</v>
      </c>
      <c r="AP3" s="6" t="s">
        <v>1</v>
      </c>
      <c r="AQ3" s="6" t="s">
        <v>10</v>
      </c>
      <c r="AR3" s="6" t="s">
        <v>1</v>
      </c>
      <c r="AS3" s="6" t="s">
        <v>10</v>
      </c>
      <c r="AT3" s="6" t="s">
        <v>0</v>
      </c>
      <c r="AU3" s="6" t="s">
        <v>1</v>
      </c>
      <c r="AV3" s="6" t="s">
        <v>10</v>
      </c>
      <c r="AW3" s="6" t="s">
        <v>10</v>
      </c>
      <c r="AX3" s="6" t="s">
        <v>1</v>
      </c>
      <c r="AY3" s="6" t="s">
        <v>10</v>
      </c>
      <c r="AZ3" s="6" t="s">
        <v>0</v>
      </c>
      <c r="BA3" s="6" t="s">
        <v>10</v>
      </c>
      <c r="BD3" s="57" t="s">
        <v>135</v>
      </c>
      <c r="BE3" s="43" t="str">
        <f>IF(OR(ISNUMBER(MATCH(class,vals!T:T,0)),ISNUMBER(MATCH(class2,vals!T:T,0)),ISNUMBER(MATCH(class3,vals!T:T,0))),"X","")</f>
        <v/>
      </c>
      <c r="BG3" s="6" t="s">
        <v>382</v>
      </c>
      <c r="BJ3">
        <v>2</v>
      </c>
      <c r="BL3">
        <v>2</v>
      </c>
      <c r="BM3">
        <v>-2</v>
      </c>
      <c r="BO3" s="7" t="s">
        <v>62</v>
      </c>
      <c r="BP3" s="6">
        <f>VLOOKUP(Race, vals!BG3:BI92, 3, 0)</f>
        <v>0</v>
      </c>
    </row>
    <row r="4" spans="1:68">
      <c r="A4" t="s">
        <v>93</v>
      </c>
      <c r="B4" s="3">
        <v>0.75</v>
      </c>
      <c r="C4" s="3">
        <v>5</v>
      </c>
      <c r="D4" s="3">
        <v>5</v>
      </c>
      <c r="E4" s="3">
        <v>1</v>
      </c>
      <c r="F4" s="160">
        <v>0.5</v>
      </c>
      <c r="G4" s="160">
        <v>0.5</v>
      </c>
      <c r="H4" s="160">
        <v>0.33333333333333331</v>
      </c>
      <c r="I4" s="164">
        <v>2</v>
      </c>
      <c r="J4" s="4" t="s">
        <v>41</v>
      </c>
      <c r="K4" s="3">
        <f>INDEX($A:$E,MATCH(class,vals!$A:$A,0),3)</f>
        <v>10</v>
      </c>
      <c r="N4" s="1" t="s">
        <v>78</v>
      </c>
      <c r="O4">
        <v>4</v>
      </c>
      <c r="Q4" s="6" t="s">
        <v>18</v>
      </c>
      <c r="S4" s="6" t="s">
        <v>1</v>
      </c>
      <c r="T4" s="6" t="s">
        <v>1</v>
      </c>
      <c r="U4" s="6" t="s">
        <v>11</v>
      </c>
      <c r="V4" s="6" t="s">
        <v>1</v>
      </c>
      <c r="W4" s="6" t="s">
        <v>0</v>
      </c>
      <c r="X4" s="6" t="s">
        <v>11</v>
      </c>
      <c r="Y4" s="6" t="s">
        <v>25</v>
      </c>
      <c r="Z4" s="6" t="s">
        <v>13</v>
      </c>
      <c r="AA4" s="6" t="s">
        <v>25</v>
      </c>
      <c r="AB4" s="6" t="s">
        <v>21</v>
      </c>
      <c r="AC4" s="6" t="s">
        <v>11</v>
      </c>
      <c r="AD4" s="6" t="s">
        <v>2</v>
      </c>
      <c r="AE4" s="6" t="s">
        <v>1</v>
      </c>
      <c r="AF4" s="6" t="s">
        <v>1</v>
      </c>
      <c r="AG4" s="6" t="s">
        <v>21</v>
      </c>
      <c r="AH4" s="6" t="s">
        <v>21</v>
      </c>
      <c r="AI4" s="6" t="s">
        <v>21</v>
      </c>
      <c r="AJ4" s="6" t="s">
        <v>2</v>
      </c>
      <c r="AK4" s="6" t="s">
        <v>21</v>
      </c>
      <c r="AL4" s="6" t="s">
        <v>0</v>
      </c>
      <c r="AM4" s="6" t="s">
        <v>2</v>
      </c>
      <c r="AN4" s="6" t="s">
        <v>2</v>
      </c>
      <c r="AO4" s="6" t="s">
        <v>2</v>
      </c>
      <c r="AP4" s="6" t="s">
        <v>2</v>
      </c>
      <c r="AQ4" s="6" t="s">
        <v>1</v>
      </c>
      <c r="AR4" s="6" t="s">
        <v>25</v>
      </c>
      <c r="AS4" s="6" t="s">
        <v>1</v>
      </c>
      <c r="AT4" s="6" t="s">
        <v>11</v>
      </c>
      <c r="AU4" s="6" t="s">
        <v>11</v>
      </c>
      <c r="AV4" s="6" t="s">
        <v>1</v>
      </c>
      <c r="AW4" s="6" t="s">
        <v>1</v>
      </c>
      <c r="AX4" s="6" t="s">
        <v>18</v>
      </c>
      <c r="AY4" s="6" t="s">
        <v>0</v>
      </c>
      <c r="AZ4" s="6" t="s">
        <v>11</v>
      </c>
      <c r="BA4" s="6" t="s">
        <v>1</v>
      </c>
      <c r="BD4" s="57" t="s">
        <v>136</v>
      </c>
      <c r="BE4" s="43" t="str">
        <f>IF(OR(ISNUMBER(MATCH(class,vals!U:U,0)),ISNUMBER(MATCH(class2,vals!U:U,0)),ISNUMBER(MATCH(class3,vals!U:U,0))),"X","")</f>
        <v/>
      </c>
      <c r="BG4" s="6" t="s">
        <v>383</v>
      </c>
      <c r="BI4">
        <v>2</v>
      </c>
      <c r="BJ4">
        <v>-2</v>
      </c>
      <c r="BK4">
        <v>2</v>
      </c>
      <c r="BO4" s="7" t="s">
        <v>63</v>
      </c>
      <c r="BP4" s="6">
        <f>VLOOKUP(Race, vals!BG3:BJ92, 4, 0)</f>
        <v>0</v>
      </c>
    </row>
    <row r="5" spans="1:68">
      <c r="A5" t="s">
        <v>18</v>
      </c>
      <c r="B5" s="3">
        <v>1</v>
      </c>
      <c r="C5" s="3">
        <v>10</v>
      </c>
      <c r="D5" s="3">
        <f>C5/2+1</f>
        <v>6</v>
      </c>
      <c r="E5" s="3">
        <v>2</v>
      </c>
      <c r="F5" s="160">
        <v>0.5</v>
      </c>
      <c r="G5" s="160">
        <v>0.33333333333333331</v>
      </c>
      <c r="H5" s="160">
        <v>0.5</v>
      </c>
      <c r="I5" s="164">
        <v>2</v>
      </c>
      <c r="J5" s="4" t="s">
        <v>42</v>
      </c>
      <c r="K5" s="3">
        <f>INDEX($A:$E,MATCH(class,vals!$A:$A,0),4)</f>
        <v>6</v>
      </c>
      <c r="N5" s="1" t="s">
        <v>79</v>
      </c>
      <c r="O5">
        <v>2</v>
      </c>
      <c r="Q5" s="6" t="s">
        <v>21</v>
      </c>
      <c r="S5" s="6" t="s">
        <v>375</v>
      </c>
      <c r="T5" s="6" t="s">
        <v>2</v>
      </c>
      <c r="U5" s="6" t="s">
        <v>18</v>
      </c>
      <c r="V5" s="6" t="s">
        <v>11</v>
      </c>
      <c r="W5" s="6" t="s">
        <v>1</v>
      </c>
      <c r="X5" s="6" t="s">
        <v>2</v>
      </c>
      <c r="Y5" s="6" t="s">
        <v>19</v>
      </c>
      <c r="Z5" s="6" t="s">
        <v>25</v>
      </c>
      <c r="AA5" s="6" t="s">
        <v>19</v>
      </c>
      <c r="AB5" s="6" t="s">
        <v>3</v>
      </c>
      <c r="AC5" s="6" t="s">
        <v>18</v>
      </c>
      <c r="AD5" s="6" t="s">
        <v>3</v>
      </c>
      <c r="AE5" s="6" t="s">
        <v>11</v>
      </c>
      <c r="AF5" s="6" t="s">
        <v>2</v>
      </c>
      <c r="AG5" s="6" t="s">
        <v>23</v>
      </c>
      <c r="AH5" s="6" t="s">
        <v>4</v>
      </c>
      <c r="AI5" s="6" t="s">
        <v>3</v>
      </c>
      <c r="AJ5" s="6" t="s">
        <v>21</v>
      </c>
      <c r="AK5" s="6" t="s">
        <v>23</v>
      </c>
      <c r="AL5" s="6" t="s">
        <v>1</v>
      </c>
      <c r="AM5" s="6" t="s">
        <v>21</v>
      </c>
      <c r="AN5" s="6" t="s">
        <v>21</v>
      </c>
      <c r="AO5" s="6" t="s">
        <v>18</v>
      </c>
      <c r="AP5" s="6" t="s">
        <v>21</v>
      </c>
      <c r="AQ5" s="6" t="s">
        <v>375</v>
      </c>
      <c r="AR5" s="6" t="s">
        <v>5</v>
      </c>
      <c r="AS5" s="6" t="s">
        <v>11</v>
      </c>
      <c r="AT5" s="6" t="s">
        <v>18</v>
      </c>
      <c r="AU5" s="6" t="s">
        <v>2</v>
      </c>
      <c r="AV5" s="6" t="s">
        <v>12</v>
      </c>
      <c r="AW5" s="6" t="s">
        <v>2</v>
      </c>
      <c r="AX5" s="6" t="s">
        <v>24</v>
      </c>
      <c r="AY5" s="6" t="s">
        <v>375</v>
      </c>
      <c r="AZ5" s="6" t="s">
        <v>375</v>
      </c>
      <c r="BA5" s="6" t="s">
        <v>21</v>
      </c>
      <c r="BD5" s="57" t="s">
        <v>137</v>
      </c>
      <c r="BE5" s="43" t="str">
        <f>IF(OR(ISNUMBER(MATCH(class,vals!V:V,0)),ISNUMBER(MATCH(class2,vals!V:V,0)),ISNUMBER(MATCH(class3,vals!V:V,0))),"X","")</f>
        <v>X</v>
      </c>
      <c r="BG5" s="6" t="s">
        <v>384</v>
      </c>
      <c r="BH5">
        <v>-2</v>
      </c>
      <c r="BJ5">
        <v>2</v>
      </c>
      <c r="BM5">
        <v>2</v>
      </c>
      <c r="BO5" s="7" t="s">
        <v>64</v>
      </c>
      <c r="BP5" s="6">
        <f>VLOOKUP(Race, vals!BG3:BM93, 5, 0)</f>
        <v>0</v>
      </c>
    </row>
    <row r="6" spans="1:68">
      <c r="A6" t="s">
        <v>21</v>
      </c>
      <c r="B6" s="3">
        <v>0.5</v>
      </c>
      <c r="C6" s="3">
        <v>6</v>
      </c>
      <c r="D6" s="3">
        <f>C6/2+1</f>
        <v>4</v>
      </c>
      <c r="E6" s="3">
        <v>2</v>
      </c>
      <c r="F6" s="160">
        <v>0.33333333333333331</v>
      </c>
      <c r="G6" s="160">
        <v>0.33333333333333331</v>
      </c>
      <c r="H6" s="160">
        <v>0.5</v>
      </c>
      <c r="I6" s="164">
        <v>2</v>
      </c>
      <c r="J6" s="4" t="s">
        <v>56</v>
      </c>
      <c r="K6" s="3">
        <f>INDEX($A:$E,MATCH(class,vals!$A:$A,0),5)</f>
        <v>2</v>
      </c>
      <c r="L6" s="6">
        <f>IF((Skills+ibon-ROUNDDOWN(ienhance/2,0))*level&lt;level,level,(Skills+ibon-ROUNDDOWN(ienhance/2,0))*level)</f>
        <v>3</v>
      </c>
      <c r="N6" s="1" t="s">
        <v>80</v>
      </c>
      <c r="O6">
        <v>1</v>
      </c>
      <c r="Q6" s="6" t="s">
        <v>95</v>
      </c>
      <c r="S6" s="6" t="s">
        <v>22</v>
      </c>
      <c r="T6" s="6" t="s">
        <v>21</v>
      </c>
      <c r="U6" s="6" t="s">
        <v>12</v>
      </c>
      <c r="V6" s="6" t="s">
        <v>375</v>
      </c>
      <c r="W6" s="6" t="s">
        <v>11</v>
      </c>
      <c r="X6" s="6" t="s">
        <v>13</v>
      </c>
      <c r="Y6" s="6" t="s">
        <v>8</v>
      </c>
      <c r="Z6" s="6" t="s">
        <v>19</v>
      </c>
      <c r="AA6" s="6" t="s">
        <v>8</v>
      </c>
      <c r="AB6" s="6" t="s">
        <v>14</v>
      </c>
      <c r="AC6" s="6" t="s">
        <v>375</v>
      </c>
      <c r="AD6" s="6" t="s">
        <v>12</v>
      </c>
      <c r="AE6" s="6" t="s">
        <v>18</v>
      </c>
      <c r="AF6" s="6" t="s">
        <v>21</v>
      </c>
      <c r="AG6" s="6" t="s">
        <v>4</v>
      </c>
      <c r="AH6" s="6" t="s">
        <v>12</v>
      </c>
      <c r="AI6" s="6" t="s">
        <v>24</v>
      </c>
      <c r="AJ6" s="6" t="s">
        <v>25</v>
      </c>
      <c r="AK6" s="6" t="s">
        <v>12</v>
      </c>
      <c r="AL6" s="6" t="s">
        <v>21</v>
      </c>
      <c r="AM6" s="6" t="s">
        <v>25</v>
      </c>
      <c r="AN6" s="6" t="s">
        <v>13</v>
      </c>
      <c r="AO6" s="6" t="s">
        <v>21</v>
      </c>
      <c r="AP6" s="6" t="s">
        <v>25</v>
      </c>
      <c r="AQ6" s="6" t="s">
        <v>22</v>
      </c>
      <c r="AR6" s="6" t="s">
        <v>376</v>
      </c>
      <c r="AS6" s="6" t="s">
        <v>2</v>
      </c>
      <c r="AT6" s="6" t="s">
        <v>375</v>
      </c>
      <c r="AU6" s="6" t="s">
        <v>18</v>
      </c>
      <c r="AV6" s="6" t="s">
        <v>25</v>
      </c>
      <c r="AW6" s="6" t="s">
        <v>18</v>
      </c>
      <c r="AX6" s="6" t="s">
        <v>13</v>
      </c>
      <c r="AY6" s="6" t="s">
        <v>22</v>
      </c>
      <c r="AZ6" s="6" t="s">
        <v>22</v>
      </c>
      <c r="BA6" s="6" t="s">
        <v>25</v>
      </c>
      <c r="BD6" s="57" t="s">
        <v>138</v>
      </c>
      <c r="BE6" s="43" t="str">
        <f>IF(OR(ISNUMBER(MATCH(class,vals!W:W,0)),ISNUMBER(MATCH(class2,vals!W:W,0)),ISNUMBER(MATCH(class3,vals!W:W,0))),"X","")</f>
        <v>X</v>
      </c>
      <c r="BG6" s="6" t="s">
        <v>428</v>
      </c>
      <c r="BH6">
        <v>2</v>
      </c>
      <c r="BO6" s="7" t="s">
        <v>65</v>
      </c>
      <c r="BP6" s="6">
        <f>VLOOKUP(Race, vals!BG3:BL92, 6, 0)</f>
        <v>2</v>
      </c>
    </row>
    <row r="7" spans="1:68">
      <c r="A7" t="s">
        <v>95</v>
      </c>
      <c r="B7" s="3">
        <v>0.75</v>
      </c>
      <c r="C7" s="3">
        <v>5</v>
      </c>
      <c r="D7" s="3">
        <v>5</v>
      </c>
      <c r="E7" s="3">
        <v>4</v>
      </c>
      <c r="F7" s="160">
        <v>0.33333333333333331</v>
      </c>
      <c r="G7" s="160">
        <v>0.33333333333333331</v>
      </c>
      <c r="H7" s="160">
        <v>0.5</v>
      </c>
      <c r="I7" s="164">
        <v>2</v>
      </c>
      <c r="J7" s="4" t="s">
        <v>88</v>
      </c>
      <c r="K7" s="3">
        <f>IF(AND((L7=0.5),M7=2),(2+ROUNDDOWN(level*L7,0)),ROUNDDOWN(level*L7,0))</f>
        <v>2</v>
      </c>
      <c r="L7" s="167">
        <f>INDEX($A:$H,MATCH(class,vals!$A:$A,0),6)</f>
        <v>0.5</v>
      </c>
      <c r="M7" s="6">
        <f>INDEX($A:$I,MATCH(class,vals!$A:$A,0),9)</f>
        <v>2</v>
      </c>
      <c r="N7" s="1" t="s">
        <v>35</v>
      </c>
      <c r="O7">
        <v>0</v>
      </c>
      <c r="Q7" s="6" t="s">
        <v>0</v>
      </c>
      <c r="S7" s="6" t="s">
        <v>23</v>
      </c>
      <c r="T7" s="6" t="s">
        <v>25</v>
      </c>
      <c r="U7" s="6" t="s">
        <v>13</v>
      </c>
      <c r="V7" s="6" t="s">
        <v>22</v>
      </c>
      <c r="W7" s="6" t="s">
        <v>2</v>
      </c>
      <c r="X7" s="6" t="s">
        <v>25</v>
      </c>
      <c r="Y7" s="6" t="s">
        <v>377</v>
      </c>
      <c r="Z7" s="6" t="s">
        <v>8</v>
      </c>
      <c r="AA7" s="6" t="s">
        <v>377</v>
      </c>
      <c r="AB7" s="6" t="s">
        <v>26</v>
      </c>
      <c r="AC7" s="6" t="s">
        <v>22</v>
      </c>
      <c r="AD7" s="6" t="s">
        <v>24</v>
      </c>
      <c r="AE7" s="6" t="s">
        <v>375</v>
      </c>
      <c r="AF7" s="6" t="s">
        <v>22</v>
      </c>
      <c r="AG7" s="6" t="s">
        <v>24</v>
      </c>
      <c r="AH7" s="6" t="s">
        <v>25</v>
      </c>
      <c r="AI7" s="6" t="s">
        <v>25</v>
      </c>
      <c r="AJ7" s="6" t="s">
        <v>5</v>
      </c>
      <c r="AK7" s="6" t="s">
        <v>25</v>
      </c>
      <c r="AL7" s="6" t="s">
        <v>375</v>
      </c>
      <c r="AM7" s="6" t="s">
        <v>19</v>
      </c>
      <c r="AN7" s="6" t="s">
        <v>25</v>
      </c>
      <c r="AO7" s="6" t="s">
        <v>13</v>
      </c>
      <c r="AP7" s="6" t="s">
        <v>19</v>
      </c>
      <c r="AQ7" s="6" t="s">
        <v>23</v>
      </c>
      <c r="AR7" s="6" t="s">
        <v>19</v>
      </c>
      <c r="AS7" s="6" t="s">
        <v>18</v>
      </c>
      <c r="AT7" s="6" t="s">
        <v>22</v>
      </c>
      <c r="AU7" s="6" t="s">
        <v>23</v>
      </c>
      <c r="AV7" s="6" t="s">
        <v>19</v>
      </c>
      <c r="AW7" s="6" t="s">
        <v>21</v>
      </c>
      <c r="AX7" s="6" t="s">
        <v>25</v>
      </c>
      <c r="AY7" s="6" t="s">
        <v>3</v>
      </c>
      <c r="AZ7" s="6" t="s">
        <v>23</v>
      </c>
      <c r="BA7" s="6" t="s">
        <v>14</v>
      </c>
      <c r="BD7" s="57" t="s">
        <v>139</v>
      </c>
      <c r="BE7" s="43" t="str">
        <f>IF(OR(ISNUMBER(MATCH(class,vals!X:X,0)),ISNUMBER(MATCH(class2,vals!X:X,0)),ISNUMBER(MATCH(class3,vals!X:X,0))),"X","")</f>
        <v/>
      </c>
      <c r="BG7" s="6" t="s">
        <v>429</v>
      </c>
      <c r="BI7">
        <v>2</v>
      </c>
      <c r="BO7" s="7" t="s">
        <v>66</v>
      </c>
      <c r="BP7" s="6">
        <f>VLOOKUP(Race, vals!BG3:BM92, 7, 0)</f>
        <v>0</v>
      </c>
    </row>
    <row r="8" spans="1:68">
      <c r="A8" t="s">
        <v>0</v>
      </c>
      <c r="B8" s="3">
        <v>1</v>
      </c>
      <c r="C8" s="3">
        <v>12</v>
      </c>
      <c r="D8" s="3">
        <f t="shared" ref="D8:D14" si="0">C8/2+1</f>
        <v>7</v>
      </c>
      <c r="E8" s="3">
        <v>4</v>
      </c>
      <c r="F8" s="160">
        <v>0.5</v>
      </c>
      <c r="G8" s="160">
        <v>0.33333333333333331</v>
      </c>
      <c r="H8" s="160">
        <v>0.33333333333333331</v>
      </c>
      <c r="I8" s="164">
        <v>2</v>
      </c>
      <c r="J8" s="4" t="s">
        <v>91</v>
      </c>
      <c r="K8" s="3">
        <f>IF(AND((L8=0.5),M8=2),(2+ROUNDDOWN(level*L8,0)),ROUNDDOWN(level*L8,0))</f>
        <v>0</v>
      </c>
      <c r="L8" s="167">
        <f>INDEX($A:$H,MATCH(class,vals!$A:$A,0),7)</f>
        <v>0.33333333333333331</v>
      </c>
      <c r="M8" s="6">
        <f>INDEX($A:$I,MATCH(class,vals!$A:$A,0),9)</f>
        <v>2</v>
      </c>
      <c r="N8" s="1" t="s">
        <v>81</v>
      </c>
      <c r="O8">
        <v>-1</v>
      </c>
      <c r="Q8" s="6" t="s">
        <v>1</v>
      </c>
      <c r="S8" s="6" t="s">
        <v>12</v>
      </c>
      <c r="T8" s="6" t="s">
        <v>19</v>
      </c>
      <c r="U8" s="6" t="s">
        <v>25</v>
      </c>
      <c r="V8" s="6" t="s">
        <v>23</v>
      </c>
      <c r="W8" s="6" t="s">
        <v>18</v>
      </c>
      <c r="X8" s="6" t="s">
        <v>19</v>
      </c>
      <c r="Y8" s="6" t="s">
        <v>37</v>
      </c>
      <c r="Z8" s="6" t="s">
        <v>377</v>
      </c>
      <c r="AA8" s="6" t="s">
        <v>27</v>
      </c>
      <c r="AB8" s="6" t="s">
        <v>198</v>
      </c>
      <c r="AC8" s="6" t="s">
        <v>23</v>
      </c>
      <c r="AD8" s="6" t="s">
        <v>13</v>
      </c>
      <c r="AE8" s="6" t="s">
        <v>22</v>
      </c>
      <c r="AF8" s="6" t="s">
        <v>13</v>
      </c>
      <c r="AG8" s="6" t="s">
        <v>13</v>
      </c>
      <c r="AH8" s="6" t="s">
        <v>27</v>
      </c>
      <c r="AI8" s="6" t="s">
        <v>7</v>
      </c>
      <c r="AJ8" s="6" t="s">
        <v>376</v>
      </c>
      <c r="AK8" s="6" t="s">
        <v>19</v>
      </c>
      <c r="AL8" s="6" t="s">
        <v>3</v>
      </c>
      <c r="AM8" s="6" t="s">
        <v>6</v>
      </c>
      <c r="AN8" s="6" t="s">
        <v>14</v>
      </c>
      <c r="AO8" s="6" t="s">
        <v>25</v>
      </c>
      <c r="AP8" s="6" t="s">
        <v>8</v>
      </c>
      <c r="AQ8" s="6" t="s">
        <v>3</v>
      </c>
      <c r="AR8" s="6" t="s">
        <v>8</v>
      </c>
      <c r="AS8" s="6" t="s">
        <v>21</v>
      </c>
      <c r="AT8" s="6" t="s">
        <v>23</v>
      </c>
      <c r="AU8" s="6" t="s">
        <v>13</v>
      </c>
      <c r="AV8" s="6" t="s">
        <v>8</v>
      </c>
      <c r="AW8" s="6" t="s">
        <v>22</v>
      </c>
      <c r="AX8" s="6" t="s">
        <v>5</v>
      </c>
      <c r="AY8" s="6" t="s">
        <v>4</v>
      </c>
      <c r="AZ8" s="6" t="s">
        <v>3</v>
      </c>
      <c r="BA8" s="6" t="s">
        <v>19</v>
      </c>
      <c r="BD8" s="57" t="s">
        <v>140</v>
      </c>
      <c r="BE8" s="43" t="str">
        <f>IF(OR(ISNUMBER(MATCH(class,vals!Y:Y,0)),ISNUMBER(MATCH(class2,vals!Y:Y,0)),ISNUMBER(MATCH(class3,vals!Y:Y,0))),"X","")</f>
        <v/>
      </c>
      <c r="BG8" s="6" t="s">
        <v>430</v>
      </c>
      <c r="BJ8">
        <v>2</v>
      </c>
    </row>
    <row r="9" spans="1:68">
      <c r="A9" t="s">
        <v>375</v>
      </c>
      <c r="B9" s="3">
        <v>1</v>
      </c>
      <c r="C9" s="3">
        <v>12</v>
      </c>
      <c r="D9" s="3">
        <f t="shared" si="0"/>
        <v>7</v>
      </c>
      <c r="E9" s="3">
        <v>4</v>
      </c>
      <c r="F9" s="160">
        <v>0.5</v>
      </c>
      <c r="G9" s="160">
        <v>0.33333333333333331</v>
      </c>
      <c r="H9" s="160">
        <v>0.33333333333333331</v>
      </c>
      <c r="I9" s="164">
        <v>2</v>
      </c>
      <c r="J9" s="4" t="s">
        <v>89</v>
      </c>
      <c r="K9" s="3">
        <f>IF(AND((L9=0.5),M9=2),(2+ROUNDDOWN(level*L9,0)),ROUNDDOWN(level*L9,0))</f>
        <v>0</v>
      </c>
      <c r="L9" s="167">
        <f>INDEX($A:$H,MATCH(class,vals!$A:$A,0),8)</f>
        <v>0.33333333333333331</v>
      </c>
      <c r="M9" s="6">
        <f>INDEX($A:$I,MATCH(class,vals!$A:$A,0),9)</f>
        <v>2</v>
      </c>
      <c r="N9" s="1" t="s">
        <v>82</v>
      </c>
      <c r="O9">
        <v>-2</v>
      </c>
      <c r="Q9" s="6" t="s">
        <v>22</v>
      </c>
      <c r="S9" s="6" t="s">
        <v>25</v>
      </c>
      <c r="T9" s="6" t="s">
        <v>8</v>
      </c>
      <c r="U9" s="6" t="s">
        <v>19</v>
      </c>
      <c r="V9" s="6" t="s">
        <v>3</v>
      </c>
      <c r="W9" s="6" t="s">
        <v>21</v>
      </c>
      <c r="X9" s="6" t="s">
        <v>15</v>
      </c>
      <c r="Y9" s="6" t="s">
        <v>282</v>
      </c>
      <c r="Z9" s="6" t="s">
        <v>95</v>
      </c>
      <c r="AA9" s="6" t="s">
        <v>28</v>
      </c>
      <c r="AB9" s="6" t="s">
        <v>16</v>
      </c>
      <c r="AC9" s="6" t="s">
        <v>3</v>
      </c>
      <c r="AD9" s="6" t="s">
        <v>25</v>
      </c>
      <c r="AE9" s="6" t="s">
        <v>23</v>
      </c>
      <c r="AF9" s="6" t="s">
        <v>25</v>
      </c>
      <c r="AG9" s="6" t="s">
        <v>25</v>
      </c>
      <c r="AH9" s="6" t="s">
        <v>16</v>
      </c>
      <c r="AI9" s="6" t="s">
        <v>27</v>
      </c>
      <c r="AJ9" s="6" t="s">
        <v>15</v>
      </c>
      <c r="AK9" s="6" t="s">
        <v>8</v>
      </c>
      <c r="AL9" s="6" t="s">
        <v>24</v>
      </c>
      <c r="AM9" s="6" t="s">
        <v>27</v>
      </c>
      <c r="AN9" s="6" t="s">
        <v>26</v>
      </c>
      <c r="AO9" s="6" t="s">
        <v>5</v>
      </c>
      <c r="AP9" s="6" t="s">
        <v>377</v>
      </c>
      <c r="AQ9" s="6" t="s">
        <v>12</v>
      </c>
      <c r="AR9" s="6" t="s">
        <v>377</v>
      </c>
      <c r="AS9" s="6" t="s">
        <v>23</v>
      </c>
      <c r="AT9" s="6" t="s">
        <v>3</v>
      </c>
      <c r="AU9" s="6" t="s">
        <v>25</v>
      </c>
      <c r="AV9" s="6" t="s">
        <v>377</v>
      </c>
      <c r="AW9" s="6" t="s">
        <v>3</v>
      </c>
      <c r="AX9" s="6" t="s">
        <v>376</v>
      </c>
      <c r="AY9" s="6" t="s">
        <v>12</v>
      </c>
      <c r="AZ9" s="6" t="s">
        <v>4</v>
      </c>
      <c r="BA9" s="6" t="s">
        <v>8</v>
      </c>
      <c r="BD9" s="57" t="s">
        <v>141</v>
      </c>
      <c r="BE9" s="43" t="str">
        <f>IF(OR(ISNUMBER(MATCH(class,vals!Z:Z,0)),ISNUMBER(MATCH(class2,vals!Z:Z,0)),ISNUMBER(MATCH(class3,vals!Z:Z,0))),"X","")</f>
        <v/>
      </c>
      <c r="BG9" s="6" t="s">
        <v>431</v>
      </c>
      <c r="BK9">
        <v>2</v>
      </c>
    </row>
    <row r="10" spans="1:68">
      <c r="A10" t="s">
        <v>1</v>
      </c>
      <c r="B10" s="3">
        <v>0.75</v>
      </c>
      <c r="C10" s="3">
        <v>8</v>
      </c>
      <c r="D10" s="3">
        <f t="shared" si="0"/>
        <v>5</v>
      </c>
      <c r="E10" s="3">
        <v>6</v>
      </c>
      <c r="F10" s="160">
        <v>0.33333333333333331</v>
      </c>
      <c r="G10" s="160">
        <v>0.5</v>
      </c>
      <c r="H10" s="160">
        <v>0.5</v>
      </c>
      <c r="I10" s="164">
        <v>2</v>
      </c>
      <c r="N10" s="1" t="s">
        <v>83</v>
      </c>
      <c r="O10">
        <v>-4</v>
      </c>
      <c r="Q10" s="6" t="s">
        <v>23</v>
      </c>
      <c r="S10" s="6" t="s">
        <v>5</v>
      </c>
      <c r="T10" s="6" t="s">
        <v>377</v>
      </c>
      <c r="U10" s="6" t="s">
        <v>8</v>
      </c>
      <c r="V10" s="6" t="s">
        <v>4</v>
      </c>
      <c r="W10" s="6" t="s">
        <v>375</v>
      </c>
      <c r="X10" s="6" t="s">
        <v>6</v>
      </c>
      <c r="Y10" s="6" t="s">
        <v>285</v>
      </c>
      <c r="Z10" s="6" t="s">
        <v>37</v>
      </c>
      <c r="AA10" s="6" t="s">
        <v>93</v>
      </c>
      <c r="AB10" s="6" t="s">
        <v>378</v>
      </c>
      <c r="AC10" s="6" t="s">
        <v>4</v>
      </c>
      <c r="AD10" s="6" t="s">
        <v>15</v>
      </c>
      <c r="AE10" s="6" t="s">
        <v>4</v>
      </c>
      <c r="AF10" s="6" t="s">
        <v>14</v>
      </c>
      <c r="AG10" s="6" t="s">
        <v>14</v>
      </c>
      <c r="AH10" s="6" t="s">
        <v>378</v>
      </c>
      <c r="AI10" s="6" t="s">
        <v>16</v>
      </c>
      <c r="AJ10" s="6" t="s">
        <v>27</v>
      </c>
      <c r="AK10" s="6" t="s">
        <v>377</v>
      </c>
      <c r="AL10" s="6" t="s">
        <v>13</v>
      </c>
      <c r="AM10" s="6" t="s">
        <v>16</v>
      </c>
      <c r="AN10" s="6" t="s">
        <v>27</v>
      </c>
      <c r="AO10" s="6" t="s">
        <v>376</v>
      </c>
      <c r="AP10" s="6" t="s">
        <v>27</v>
      </c>
      <c r="AQ10" s="6" t="s">
        <v>24</v>
      </c>
      <c r="AR10" s="6" t="s">
        <v>27</v>
      </c>
      <c r="AS10" s="6" t="s">
        <v>3</v>
      </c>
      <c r="AT10" s="6" t="s">
        <v>4</v>
      </c>
      <c r="AU10" s="6" t="s">
        <v>5</v>
      </c>
      <c r="AV10" s="6" t="s">
        <v>28</v>
      </c>
      <c r="AW10" s="6" t="s">
        <v>24</v>
      </c>
      <c r="AX10" s="6" t="s">
        <v>19</v>
      </c>
      <c r="AY10" s="6" t="s">
        <v>24</v>
      </c>
      <c r="AZ10" s="6" t="s">
        <v>12</v>
      </c>
      <c r="BA10" s="6" t="s">
        <v>377</v>
      </c>
      <c r="BD10" s="57" t="s">
        <v>142</v>
      </c>
      <c r="BE10" s="43" t="str">
        <f>IF(OR(ISNUMBER(MATCH(class,vals!AA:AA,0)),ISNUMBER(MATCH(class2,vals!AA:AA,0)),ISNUMBER(MATCH(class3,vals!AA:AA,0))),"X","")</f>
        <v/>
      </c>
      <c r="BG10" s="6" t="s">
        <v>432</v>
      </c>
      <c r="BL10">
        <v>2</v>
      </c>
    </row>
    <row r="11" spans="1:68">
      <c r="A11" t="s">
        <v>22</v>
      </c>
      <c r="B11" s="3">
        <v>1</v>
      </c>
      <c r="C11" s="3">
        <v>10</v>
      </c>
      <c r="D11" s="3">
        <f t="shared" si="0"/>
        <v>6</v>
      </c>
      <c r="E11" s="3">
        <v>4</v>
      </c>
      <c r="F11" s="160">
        <v>0.5</v>
      </c>
      <c r="G11" s="160">
        <v>0.33333333333333331</v>
      </c>
      <c r="H11" s="160">
        <v>0.33333333333333331</v>
      </c>
      <c r="I11" s="164">
        <v>2</v>
      </c>
      <c r="J11" s="6" t="s">
        <v>180</v>
      </c>
      <c r="K11" s="6"/>
      <c r="N11" s="1" t="s">
        <v>84</v>
      </c>
      <c r="O11">
        <v>-8</v>
      </c>
      <c r="Q11" s="6" t="s">
        <v>11</v>
      </c>
      <c r="S11" s="6" t="s">
        <v>376</v>
      </c>
      <c r="T11" s="6" t="s">
        <v>27</v>
      </c>
      <c r="U11" s="6" t="s">
        <v>377</v>
      </c>
      <c r="V11" s="6" t="s">
        <v>12</v>
      </c>
      <c r="W11" s="6" t="s">
        <v>22</v>
      </c>
      <c r="X11" s="6" t="s">
        <v>8</v>
      </c>
      <c r="Y11" s="6" t="s">
        <v>290</v>
      </c>
      <c r="Z11" t="s">
        <v>36</v>
      </c>
      <c r="AA11" s="6" t="s">
        <v>36</v>
      </c>
      <c r="AB11" s="6" t="s">
        <v>17</v>
      </c>
      <c r="AC11" s="6" t="s">
        <v>12</v>
      </c>
      <c r="AD11" s="6" t="s">
        <v>6</v>
      </c>
      <c r="AE11" s="6" t="s">
        <v>12</v>
      </c>
      <c r="AF11" s="6" t="s">
        <v>27</v>
      </c>
      <c r="AG11" s="6" t="s">
        <v>8</v>
      </c>
      <c r="AH11" s="6" t="s">
        <v>29</v>
      </c>
      <c r="AI11" s="6" t="s">
        <v>378</v>
      </c>
      <c r="AJ11" s="6" t="s">
        <v>16</v>
      </c>
      <c r="AK11" s="6" t="s">
        <v>27</v>
      </c>
      <c r="AL11" s="6" t="s">
        <v>25</v>
      </c>
      <c r="AM11" s="6" t="s">
        <v>378</v>
      </c>
      <c r="AN11" s="6" t="s">
        <v>16</v>
      </c>
      <c r="AO11" s="6" t="s">
        <v>15</v>
      </c>
      <c r="AP11" s="6" t="s">
        <v>16</v>
      </c>
      <c r="AQ11" s="6" t="s">
        <v>13</v>
      </c>
      <c r="AR11" s="6" t="s">
        <v>28</v>
      </c>
      <c r="AS11" s="6" t="s">
        <v>4</v>
      </c>
      <c r="AT11" s="6" t="s">
        <v>12</v>
      </c>
      <c r="AU11" s="6" t="s">
        <v>376</v>
      </c>
      <c r="AV11" s="6" t="s">
        <v>36</v>
      </c>
      <c r="AW11" s="6" t="s">
        <v>13</v>
      </c>
      <c r="AX11" s="6" t="s">
        <v>7</v>
      </c>
      <c r="AY11" s="6" t="s">
        <v>13</v>
      </c>
      <c r="AZ11" s="6" t="s">
        <v>24</v>
      </c>
      <c r="BA11" s="6" t="s">
        <v>27</v>
      </c>
      <c r="BD11" s="57" t="s">
        <v>143</v>
      </c>
      <c r="BE11" s="43" t="str">
        <f>IF(OR(ISNUMBER(MATCH(class,vals!AB:AB,0)),ISNUMBER(MATCH(class2,vals!AB:AB,0)),ISNUMBER(MATCH(class3,vals!AB:AB,0))),"X","")</f>
        <v/>
      </c>
      <c r="BG11" s="6" t="s">
        <v>433</v>
      </c>
      <c r="BM11">
        <v>2</v>
      </c>
    </row>
    <row r="12" spans="1:68">
      <c r="A12" t="s">
        <v>23</v>
      </c>
      <c r="B12" s="3">
        <v>1</v>
      </c>
      <c r="C12" s="3">
        <v>10</v>
      </c>
      <c r="D12" s="3">
        <f t="shared" si="0"/>
        <v>6</v>
      </c>
      <c r="E12" s="3">
        <v>4</v>
      </c>
      <c r="F12" s="160">
        <v>0.5</v>
      </c>
      <c r="G12" s="160">
        <v>0.5</v>
      </c>
      <c r="H12" s="160">
        <v>0.33333333333333331</v>
      </c>
      <c r="I12" s="164">
        <v>2</v>
      </c>
      <c r="J12" s="4" t="s">
        <v>43</v>
      </c>
      <c r="K12" s="3" t="e">
        <f>INDEX($A:$E,MATCH(class2,vals!$A:$A,0),2)</f>
        <v>#N/A</v>
      </c>
      <c r="N12" s="4" t="s">
        <v>49</v>
      </c>
      <c r="O12" s="3">
        <f>INDEX(N3:O11,MATCH(size,vals!N3:N11,0 ),2)</f>
        <v>0</v>
      </c>
      <c r="Q12" s="6" t="s">
        <v>2</v>
      </c>
      <c r="S12" s="6" t="s">
        <v>19</v>
      </c>
      <c r="T12" s="6" t="s">
        <v>198</v>
      </c>
      <c r="U12" s="6" t="s">
        <v>27</v>
      </c>
      <c r="V12" s="6" t="s">
        <v>24</v>
      </c>
      <c r="W12" s="6" t="s">
        <v>23</v>
      </c>
      <c r="X12" s="6" t="s">
        <v>377</v>
      </c>
      <c r="Y12" s="6" t="s">
        <v>292</v>
      </c>
      <c r="Z12" s="6" t="s">
        <v>282</v>
      </c>
      <c r="AA12" s="6" t="s">
        <v>282</v>
      </c>
      <c r="AB12" t="s">
        <v>9</v>
      </c>
      <c r="AC12" s="6" t="s">
        <v>24</v>
      </c>
      <c r="AD12" s="6" t="s">
        <v>7</v>
      </c>
      <c r="AE12" s="6" t="s">
        <v>24</v>
      </c>
      <c r="AF12" s="6" t="s">
        <v>198</v>
      </c>
      <c r="AG12" s="6" t="s">
        <v>377</v>
      </c>
      <c r="AH12" s="6" t="s">
        <v>9</v>
      </c>
      <c r="AI12" s="6" t="s">
        <v>9</v>
      </c>
      <c r="AJ12" s="6" t="s">
        <v>378</v>
      </c>
      <c r="AK12" s="6" t="s">
        <v>44</v>
      </c>
      <c r="AL12" s="6" t="s">
        <v>7</v>
      </c>
      <c r="AM12" s="6" t="s">
        <v>28</v>
      </c>
      <c r="AN12" s="6" t="s">
        <v>378</v>
      </c>
      <c r="AO12" s="6" t="s">
        <v>6</v>
      </c>
      <c r="AP12" s="6" t="s">
        <v>378</v>
      </c>
      <c r="AQ12" s="6" t="s">
        <v>25</v>
      </c>
      <c r="AR12" s="6" t="s">
        <v>95</v>
      </c>
      <c r="AS12" s="6" t="s">
        <v>12</v>
      </c>
      <c r="AT12" s="6" t="s">
        <v>24</v>
      </c>
      <c r="AU12" s="6" t="s">
        <v>19</v>
      </c>
      <c r="AV12" s="6" t="s">
        <v>37</v>
      </c>
      <c r="AW12" s="6" t="s">
        <v>25</v>
      </c>
      <c r="AX12" s="6" t="s">
        <v>8</v>
      </c>
      <c r="AY12" s="6" t="s">
        <v>7</v>
      </c>
      <c r="AZ12" s="6" t="s">
        <v>13</v>
      </c>
      <c r="BA12" s="6" t="s">
        <v>198</v>
      </c>
      <c r="BD12" s="57" t="s">
        <v>144</v>
      </c>
      <c r="BE12" s="43" t="str">
        <f>IF(OR(ISNUMBER(MATCH(class,vals!AC:AC,0)),ISNUMBER(MATCH(class2,vals!AC:AC,0)),ISNUMBER(MATCH(class3,vals!AC:AC,0))),"X","")</f>
        <v>X</v>
      </c>
      <c r="BG12" s="6" t="s">
        <v>434</v>
      </c>
      <c r="BH12" s="6">
        <v>2</v>
      </c>
      <c r="BI12" s="6"/>
      <c r="BJ12" s="6"/>
      <c r="BK12" s="6"/>
      <c r="BL12" s="6"/>
      <c r="BM12" s="6"/>
    </row>
    <row r="13" spans="1:68">
      <c r="A13" t="s">
        <v>11</v>
      </c>
      <c r="B13" s="3">
        <v>1</v>
      </c>
      <c r="C13" s="3">
        <v>10</v>
      </c>
      <c r="D13" s="3">
        <f t="shared" si="0"/>
        <v>6</v>
      </c>
      <c r="E13" s="3">
        <v>4</v>
      </c>
      <c r="F13" s="160">
        <v>0.5</v>
      </c>
      <c r="G13" s="160">
        <v>0.33333333333333331</v>
      </c>
      <c r="H13" s="160">
        <v>0.33333333333333331</v>
      </c>
      <c r="I13" s="164">
        <v>2</v>
      </c>
      <c r="J13" s="4" t="s">
        <v>41</v>
      </c>
      <c r="K13" s="3" t="e">
        <f>INDEX($A:$E,MATCH(class2,vals!$A:$A,0),3)</f>
        <v>#N/A</v>
      </c>
      <c r="Q13" s="6" t="s">
        <v>96</v>
      </c>
      <c r="S13" s="6" t="s">
        <v>8</v>
      </c>
      <c r="T13" s="6" t="s">
        <v>9</v>
      </c>
      <c r="U13" s="6" t="s">
        <v>198</v>
      </c>
      <c r="V13" s="6" t="s">
        <v>13</v>
      </c>
      <c r="W13" s="6" t="s">
        <v>3</v>
      </c>
      <c r="X13" s="6" t="s">
        <v>20</v>
      </c>
      <c r="Y13" s="6" t="s">
        <v>308</v>
      </c>
      <c r="Z13" s="6" t="s">
        <v>284</v>
      </c>
      <c r="AA13" s="6" t="s">
        <v>285</v>
      </c>
      <c r="AB13" s="6" t="s">
        <v>93</v>
      </c>
      <c r="AC13" s="6" t="s">
        <v>6</v>
      </c>
      <c r="AD13" s="6" t="s">
        <v>26</v>
      </c>
      <c r="AE13" s="6" t="s">
        <v>13</v>
      </c>
      <c r="AF13" s="6" t="s">
        <v>16</v>
      </c>
      <c r="AG13" s="6" t="s">
        <v>27</v>
      </c>
      <c r="AH13" s="6" t="s">
        <v>94</v>
      </c>
      <c r="AI13" s="6" t="s">
        <v>94</v>
      </c>
      <c r="AJ13" s="6" t="s">
        <v>9</v>
      </c>
      <c r="AK13" s="6" t="s">
        <v>16</v>
      </c>
      <c r="AL13" s="6" t="s">
        <v>27</v>
      </c>
      <c r="AM13" s="6" t="s">
        <v>9</v>
      </c>
      <c r="AN13" s="6" t="s">
        <v>17</v>
      </c>
      <c r="AO13" s="6" t="s">
        <v>26</v>
      </c>
      <c r="AP13" s="6" t="s">
        <v>9</v>
      </c>
      <c r="AQ13" s="6" t="s">
        <v>5</v>
      </c>
      <c r="AR13" s="6" t="s">
        <v>35</v>
      </c>
      <c r="AS13" s="6" t="s">
        <v>24</v>
      </c>
      <c r="AT13" s="6" t="s">
        <v>13</v>
      </c>
      <c r="AU13" s="6" t="s">
        <v>15</v>
      </c>
      <c r="AV13" s="6" t="s">
        <v>282</v>
      </c>
      <c r="AW13" s="6" t="s">
        <v>14</v>
      </c>
      <c r="AX13" s="6" t="s">
        <v>377</v>
      </c>
      <c r="AY13" s="6" t="s">
        <v>26</v>
      </c>
      <c r="AZ13" s="6" t="s">
        <v>14</v>
      </c>
      <c r="BA13" s="6" t="s">
        <v>16</v>
      </c>
      <c r="BD13" s="57" t="s">
        <v>145</v>
      </c>
      <c r="BE13" s="43" t="str">
        <f>IF(OR(ISNUMBER(MATCH(class,vals!AD:AD,0)),ISNUMBER(MATCH(class2,vals!AD:AD,0)),ISNUMBER(MATCH(class3,vals!AD:AD,0))),"X","")</f>
        <v/>
      </c>
      <c r="BG13" s="6" t="s">
        <v>435</v>
      </c>
      <c r="BH13" s="6"/>
      <c r="BI13" s="6">
        <v>2</v>
      </c>
      <c r="BJ13" s="6"/>
      <c r="BK13" s="6"/>
      <c r="BL13" s="6"/>
      <c r="BM13" s="6"/>
    </row>
    <row r="14" spans="1:68">
      <c r="A14" t="s">
        <v>2</v>
      </c>
      <c r="B14" s="3">
        <v>0.75</v>
      </c>
      <c r="C14" s="3">
        <v>8</v>
      </c>
      <c r="D14" s="3">
        <f t="shared" si="0"/>
        <v>5</v>
      </c>
      <c r="E14" s="3">
        <v>2</v>
      </c>
      <c r="F14" s="160">
        <v>0.5</v>
      </c>
      <c r="G14" s="160">
        <v>0.33333333333333331</v>
      </c>
      <c r="H14" s="160">
        <v>0.5</v>
      </c>
      <c r="I14" s="164">
        <v>2</v>
      </c>
      <c r="J14" s="4" t="s">
        <v>42</v>
      </c>
      <c r="K14" s="3" t="e">
        <f>INDEX($A:$E,MATCH(class2,vals!$A:$A,0),4)</f>
        <v>#N/A</v>
      </c>
      <c r="N14" s="1" t="s">
        <v>69</v>
      </c>
      <c r="O14" t="s">
        <v>274</v>
      </c>
      <c r="Q14" s="6" t="s">
        <v>3</v>
      </c>
      <c r="S14" s="6" t="s">
        <v>377</v>
      </c>
      <c r="T14" s="6" t="s">
        <v>36</v>
      </c>
      <c r="U14" s="6" t="s">
        <v>28</v>
      </c>
      <c r="V14" s="6" t="s">
        <v>25</v>
      </c>
      <c r="W14" s="6" t="s">
        <v>4</v>
      </c>
      <c r="X14" s="6" t="s">
        <v>26</v>
      </c>
      <c r="Y14" s="6" t="s">
        <v>324</v>
      </c>
      <c r="Z14" s="6" t="s">
        <v>285</v>
      </c>
      <c r="AA14" s="6" t="s">
        <v>287</v>
      </c>
      <c r="AB14" s="6" t="s">
        <v>35</v>
      </c>
      <c r="AC14" s="6" t="s">
        <v>7</v>
      </c>
      <c r="AD14" s="6" t="s">
        <v>29</v>
      </c>
      <c r="AE14" s="6" t="s">
        <v>25</v>
      </c>
      <c r="AF14" s="6" t="s">
        <v>378</v>
      </c>
      <c r="AG14" s="6" t="s">
        <v>16</v>
      </c>
      <c r="AH14" s="6" t="s">
        <v>95</v>
      </c>
      <c r="AI14" s="6" t="s">
        <v>95</v>
      </c>
      <c r="AJ14" s="6" t="s">
        <v>94</v>
      </c>
      <c r="AK14" s="6" t="s">
        <v>378</v>
      </c>
      <c r="AL14" s="6" t="s">
        <v>16</v>
      </c>
      <c r="AM14" s="6" t="s">
        <v>94</v>
      </c>
      <c r="AN14" s="6" t="s">
        <v>9</v>
      </c>
      <c r="AO14" s="6" t="s">
        <v>27</v>
      </c>
      <c r="AP14" s="6" t="s">
        <v>95</v>
      </c>
      <c r="AQ14" s="6" t="s">
        <v>376</v>
      </c>
      <c r="AR14" s="6" t="s">
        <v>36</v>
      </c>
      <c r="AS14" s="6" t="s">
        <v>13</v>
      </c>
      <c r="AT14" s="6" t="s">
        <v>14</v>
      </c>
      <c r="AU14" s="6" t="s">
        <v>6</v>
      </c>
      <c r="AV14" s="6" t="s">
        <v>284</v>
      </c>
      <c r="AW14" s="6" t="s">
        <v>15</v>
      </c>
      <c r="AX14" s="6" t="s">
        <v>44</v>
      </c>
      <c r="AY14" s="6" t="s">
        <v>44</v>
      </c>
      <c r="AZ14" s="6" t="s">
        <v>5</v>
      </c>
      <c r="BA14" s="6" t="s">
        <v>378</v>
      </c>
      <c r="BD14" s="57" t="s">
        <v>146</v>
      </c>
      <c r="BE14" s="43" t="str">
        <f>IF(OR(ISNUMBER(MATCH(class,vals!AE:AE,0)),ISNUMBER(MATCH(class2,vals!AE:AE,0)),ISNUMBER(MATCH(class3,vals!AE:AE,0))),"X","")</f>
        <v>X</v>
      </c>
      <c r="BG14" s="6" t="s">
        <v>436</v>
      </c>
      <c r="BH14" s="6"/>
      <c r="BI14" s="6"/>
      <c r="BJ14" s="6">
        <v>2</v>
      </c>
      <c r="BK14" s="6"/>
      <c r="BL14" s="6"/>
      <c r="BM14" s="6"/>
    </row>
    <row r="15" spans="1:68">
      <c r="A15" t="s">
        <v>96</v>
      </c>
      <c r="B15" s="3">
        <v>0.5</v>
      </c>
      <c r="C15" s="3">
        <v>4</v>
      </c>
      <c r="D15" s="3">
        <v>4</v>
      </c>
      <c r="E15" s="3">
        <v>2</v>
      </c>
      <c r="F15" s="160">
        <v>0.33333333333333331</v>
      </c>
      <c r="G15" s="160">
        <v>0.33333333333333331</v>
      </c>
      <c r="H15" s="160">
        <v>0.33333333333333331</v>
      </c>
      <c r="I15" s="164">
        <v>2</v>
      </c>
      <c r="J15" s="4" t="s">
        <v>56</v>
      </c>
      <c r="K15" s="3" t="e">
        <f>INDEX($A:$E,MATCH(class2,vals!$A:$A,0),5)</f>
        <v>#N/A</v>
      </c>
      <c r="L15" s="6" t="e">
        <f>IF((cl2Skills+ibon-ROUNDDOWN(ienhance/2,0))*cl2level&lt;cl2level,cl2level,(Skills+ibon-ROUNDDOWN(ienhance/2,0))*cl2level)</f>
        <v>#N/A</v>
      </c>
      <c r="N15" s="1" t="s">
        <v>123</v>
      </c>
      <c r="O15" t="s">
        <v>275</v>
      </c>
      <c r="Q15" s="6" t="s">
        <v>98</v>
      </c>
      <c r="S15" s="6" t="s">
        <v>27</v>
      </c>
      <c r="T15" s="6" t="s">
        <v>37</v>
      </c>
      <c r="U15" s="6" t="s">
        <v>99</v>
      </c>
      <c r="V15" s="6" t="s">
        <v>14</v>
      </c>
      <c r="W15" s="6" t="s">
        <v>24</v>
      </c>
      <c r="X15" s="6" t="s">
        <v>27</v>
      </c>
      <c r="Y15" s="6" t="s">
        <v>331</v>
      </c>
      <c r="Z15" s="6" t="s">
        <v>287</v>
      </c>
      <c r="AA15" s="6" t="s">
        <v>291</v>
      </c>
      <c r="AB15" s="6" t="s">
        <v>37</v>
      </c>
      <c r="AC15" s="6" t="s">
        <v>20</v>
      </c>
      <c r="AD15" s="6" t="s">
        <v>17</v>
      </c>
      <c r="AE15" s="6" t="s">
        <v>14</v>
      </c>
      <c r="AF15" s="6" t="s">
        <v>17</v>
      </c>
      <c r="AG15" s="6" t="s">
        <v>378</v>
      </c>
      <c r="AH15" s="6" t="s">
        <v>37</v>
      </c>
      <c r="AI15" s="6" t="s">
        <v>38</v>
      </c>
      <c r="AJ15" s="6" t="s">
        <v>95</v>
      </c>
      <c r="AK15" s="6" t="s">
        <v>28</v>
      </c>
      <c r="AL15" s="6" t="s">
        <v>378</v>
      </c>
      <c r="AM15" s="6" t="s">
        <v>95</v>
      </c>
      <c r="AN15" s="6" t="s">
        <v>99</v>
      </c>
      <c r="AO15" s="6" t="s">
        <v>16</v>
      </c>
      <c r="AP15" s="6" t="s">
        <v>35</v>
      </c>
      <c r="AQ15" s="6" t="s">
        <v>19</v>
      </c>
      <c r="AR15" s="6" t="s">
        <v>280</v>
      </c>
      <c r="AS15" s="6" t="s">
        <v>25</v>
      </c>
      <c r="AT15" s="6" t="s">
        <v>5</v>
      </c>
      <c r="AU15" s="6" t="s">
        <v>8</v>
      </c>
      <c r="AV15" s="6" t="s">
        <v>285</v>
      </c>
      <c r="AW15" s="6" t="s">
        <v>6</v>
      </c>
      <c r="AX15" s="6" t="s">
        <v>93</v>
      </c>
      <c r="AY15" s="6" t="s">
        <v>29</v>
      </c>
      <c r="AZ15" s="6" t="s">
        <v>376</v>
      </c>
      <c r="BA15" s="6" t="s">
        <v>17</v>
      </c>
      <c r="BD15" s="57" t="s">
        <v>147</v>
      </c>
      <c r="BE15" s="43" t="str">
        <f>IF(OR(ISNUMBER(MATCH(class,vals!AF:AF,0)),ISNUMBER(MATCH(class2,vals!AF:AF,0)),ISNUMBER(MATCH(class3,vals!AF:AF,0))),"X","")</f>
        <v/>
      </c>
      <c r="BG15" s="6" t="s">
        <v>437</v>
      </c>
      <c r="BH15" s="6"/>
      <c r="BI15" s="6"/>
      <c r="BJ15" s="6"/>
      <c r="BK15" s="6">
        <v>2</v>
      </c>
      <c r="BL15" s="6"/>
      <c r="BM15" s="6"/>
    </row>
    <row r="16" spans="1:68">
      <c r="A16" t="s">
        <v>3</v>
      </c>
      <c r="B16" s="3">
        <v>0.75</v>
      </c>
      <c r="C16" s="3">
        <v>8</v>
      </c>
      <c r="D16" s="3">
        <f>C16/2+1</f>
        <v>5</v>
      </c>
      <c r="E16" s="3">
        <v>4</v>
      </c>
      <c r="F16" s="160">
        <v>0.5</v>
      </c>
      <c r="G16" s="160">
        <v>0.33333333333333331</v>
      </c>
      <c r="H16" s="160">
        <v>0.5</v>
      </c>
      <c r="I16" s="164">
        <v>2</v>
      </c>
      <c r="J16" s="4" t="s">
        <v>88</v>
      </c>
      <c r="K16" s="3" t="e">
        <f>IF(AND((L16=0.5),M16=2),(2+ROUNDDOWN(cl2level*L16,0)),IF(M16=2,ROUNDDOWN(cl2level*L16,0),ROUND(cl2level*L16,0)))</f>
        <v>#N/A</v>
      </c>
      <c r="L16" s="167" t="e">
        <f>INDEX($A:$H,MATCH(class2,vals!$A:$A,0),6)</f>
        <v>#N/A</v>
      </c>
      <c r="M16" s="6" t="e">
        <f>INDEX($A:$I,MATCH(class2,vals!$A:$A,0),9)</f>
        <v>#N/A</v>
      </c>
      <c r="Q16" s="6" t="s">
        <v>4</v>
      </c>
      <c r="S16" s="6" t="s">
        <v>44</v>
      </c>
      <c r="T16" s="6" t="s">
        <v>282</v>
      </c>
      <c r="U16" s="6" t="s">
        <v>100</v>
      </c>
      <c r="V16" s="6" t="s">
        <v>5</v>
      </c>
      <c r="W16" s="6" t="s">
        <v>13</v>
      </c>
      <c r="X16" s="6" t="s">
        <v>28</v>
      </c>
      <c r="Y16" s="6" t="s">
        <v>332</v>
      </c>
      <c r="Z16" s="6" t="s">
        <v>293</v>
      </c>
      <c r="AA16" s="6" t="s">
        <v>293</v>
      </c>
      <c r="AB16" s="6" t="s">
        <v>38</v>
      </c>
      <c r="AC16" s="6" t="s">
        <v>26</v>
      </c>
      <c r="AD16" s="6" t="s">
        <v>94</v>
      </c>
      <c r="AE16" s="6" t="s">
        <v>5</v>
      </c>
      <c r="AF16" s="6" t="s">
        <v>9</v>
      </c>
      <c r="AG16" s="6" t="s">
        <v>9</v>
      </c>
      <c r="AH16" s="6" t="s">
        <v>38</v>
      </c>
      <c r="AI16" s="6" t="s">
        <v>39</v>
      </c>
      <c r="AJ16" s="6" t="s">
        <v>36</v>
      </c>
      <c r="AK16" s="6" t="s">
        <v>9</v>
      </c>
      <c r="AL16" s="6" t="s">
        <v>17</v>
      </c>
      <c r="AM16" s="6" t="s">
        <v>36</v>
      </c>
      <c r="AN16" s="6" t="s">
        <v>100</v>
      </c>
      <c r="AO16" s="6" t="s">
        <v>378</v>
      </c>
      <c r="AP16" s="6" t="s">
        <v>36</v>
      </c>
      <c r="AQ16" s="6" t="s">
        <v>7</v>
      </c>
      <c r="AR16" s="6" t="s">
        <v>295</v>
      </c>
      <c r="AS16" s="6" t="s">
        <v>14</v>
      </c>
      <c r="AT16" s="6" t="s">
        <v>376</v>
      </c>
      <c r="AU16" s="6" t="s">
        <v>377</v>
      </c>
      <c r="AV16" s="6" t="s">
        <v>287</v>
      </c>
      <c r="AW16" s="6" t="s">
        <v>7</v>
      </c>
      <c r="AX16" s="6" t="s">
        <v>99</v>
      </c>
      <c r="AY16" s="6" t="s">
        <v>93</v>
      </c>
      <c r="AZ16" s="6" t="s">
        <v>19</v>
      </c>
      <c r="BA16" s="6" t="s">
        <v>34</v>
      </c>
      <c r="BD16" s="57" t="s">
        <v>148</v>
      </c>
      <c r="BE16" s="43" t="str">
        <f>IF(OR(ISNUMBER(MATCH(class,vals!AG:AG,0)),ISNUMBER(MATCH(class2,vals!AG:AG,0)),ISNUMBER(MATCH(class3,vals!AG:AG,0))),"X","")</f>
        <v>X</v>
      </c>
      <c r="BG16" s="6" t="s">
        <v>438</v>
      </c>
      <c r="BH16" s="6"/>
      <c r="BI16" s="6"/>
      <c r="BJ16" s="6"/>
      <c r="BK16" s="6"/>
      <c r="BL16" s="6">
        <v>2</v>
      </c>
      <c r="BM16" s="6"/>
    </row>
    <row r="17" spans="1:65">
      <c r="A17" t="s">
        <v>99</v>
      </c>
      <c r="B17" s="3">
        <v>1</v>
      </c>
      <c r="C17" s="3">
        <v>6</v>
      </c>
      <c r="D17" s="3">
        <v>6</v>
      </c>
      <c r="E17" s="3">
        <v>4</v>
      </c>
      <c r="F17" s="160">
        <v>0.5</v>
      </c>
      <c r="G17" s="160">
        <v>0.5</v>
      </c>
      <c r="H17" s="160">
        <v>0.33333333333333331</v>
      </c>
      <c r="I17" s="164">
        <v>2</v>
      </c>
      <c r="J17" s="4" t="s">
        <v>91</v>
      </c>
      <c r="K17" s="3" t="e">
        <f>IF(AND((L17=0.5),M17=2),(2+ROUNDDOWN(cl2level*L17,0)),IF(M17=2,ROUNDDOWN(cl2level*L17,0),ROUND(cl2level*L17,0)))</f>
        <v>#N/A</v>
      </c>
      <c r="L17" s="167" t="e">
        <f>INDEX($A:$H,MATCH(class2,vals!$A:$A,0),7)</f>
        <v>#N/A</v>
      </c>
      <c r="M17" s="6" t="e">
        <f>INDEX($A:$I,MATCH(class2,vals!$A:$A,0),9)</f>
        <v>#N/A</v>
      </c>
      <c r="N17" s="7" t="s">
        <v>123</v>
      </c>
      <c r="O17">
        <f>INDEX($N$26:$O$37,MATCH(sbase,$N$26:$N$37),2)</f>
        <v>0</v>
      </c>
      <c r="Q17" s="6" t="s">
        <v>12</v>
      </c>
      <c r="S17" s="6" t="s">
        <v>28</v>
      </c>
      <c r="T17" s="6" t="s">
        <v>292</v>
      </c>
      <c r="U17" s="6" t="s">
        <v>101</v>
      </c>
      <c r="V17" s="6" t="s">
        <v>376</v>
      </c>
      <c r="W17" s="6" t="s">
        <v>25</v>
      </c>
      <c r="X17" s="6" t="s">
        <v>29</v>
      </c>
      <c r="Y17" s="6" t="s">
        <v>343</v>
      </c>
      <c r="Z17" s="6" t="s">
        <v>295</v>
      </c>
      <c r="AA17" s="6" t="s">
        <v>299</v>
      </c>
      <c r="AB17" s="6" t="s">
        <v>39</v>
      </c>
      <c r="AC17" s="6" t="s">
        <v>27</v>
      </c>
      <c r="AD17" s="6" t="s">
        <v>34</v>
      </c>
      <c r="AE17" s="6" t="s">
        <v>376</v>
      </c>
      <c r="AF17" s="6" t="s">
        <v>94</v>
      </c>
      <c r="AG17" s="6" t="s">
        <v>94</v>
      </c>
      <c r="AH17" s="6" t="s">
        <v>39</v>
      </c>
      <c r="AI17" s="6" t="s">
        <v>282</v>
      </c>
      <c r="AJ17" s="6" t="s">
        <v>37</v>
      </c>
      <c r="AK17" s="6" t="s">
        <v>94</v>
      </c>
      <c r="AL17" s="6" t="s">
        <v>9</v>
      </c>
      <c r="AM17" s="6" t="s">
        <v>38</v>
      </c>
      <c r="AN17" s="6" t="s">
        <v>101</v>
      </c>
      <c r="AO17" s="6" t="s">
        <v>29</v>
      </c>
      <c r="AP17" s="6" t="s">
        <v>37</v>
      </c>
      <c r="AQ17" s="6" t="s">
        <v>8</v>
      </c>
      <c r="AR17" s="6" t="s">
        <v>298</v>
      </c>
      <c r="AS17" s="6" t="s">
        <v>5</v>
      </c>
      <c r="AT17" s="6" t="s">
        <v>6</v>
      </c>
      <c r="AU17" s="6" t="s">
        <v>20</v>
      </c>
      <c r="AV17" s="6" t="s">
        <v>293</v>
      </c>
      <c r="AW17" s="6" t="s">
        <v>26</v>
      </c>
      <c r="AX17" s="6" t="s">
        <v>100</v>
      </c>
      <c r="AY17" s="6" t="s">
        <v>94</v>
      </c>
      <c r="AZ17" s="6" t="s">
        <v>7</v>
      </c>
      <c r="BA17" s="6" t="s">
        <v>35</v>
      </c>
      <c r="BD17" s="57" t="s">
        <v>149</v>
      </c>
      <c r="BE17" s="43" t="str">
        <f>IF(OR(ISNUMBER(MATCH(class,vals!AH:AH,0)),ISNUMBER(MATCH(class2,vals!AH:AH,0)),ISNUMBER(MATCH(class3,vals!AH:AH,0))),"X","")</f>
        <v>X</v>
      </c>
      <c r="BG17" s="6" t="s">
        <v>439</v>
      </c>
      <c r="BH17" s="6"/>
      <c r="BI17" s="6"/>
      <c r="BJ17" s="6"/>
      <c r="BK17" s="6"/>
      <c r="BL17" s="6"/>
      <c r="BM17" s="6">
        <v>2</v>
      </c>
    </row>
    <row r="18" spans="1:65">
      <c r="A18" t="s">
        <v>100</v>
      </c>
      <c r="B18" s="3">
        <v>1</v>
      </c>
      <c r="C18" s="3">
        <v>6</v>
      </c>
      <c r="D18" s="3">
        <v>6</v>
      </c>
      <c r="E18" s="3">
        <v>4</v>
      </c>
      <c r="F18" s="160">
        <v>0.5</v>
      </c>
      <c r="G18" s="160">
        <v>0.33333333333333331</v>
      </c>
      <c r="H18" s="160">
        <v>0.5</v>
      </c>
      <c r="I18" s="164">
        <v>2</v>
      </c>
      <c r="J18" s="4" t="s">
        <v>89</v>
      </c>
      <c r="K18" s="3" t="e">
        <f>IF(AND((L18=0.5),M18=2),(2+ROUNDDOWN(cl2level*L18,0)),IF(M18=2,ROUNDDOWN(cl2level*L18,0),ROUND(cl2level*L18,0)))</f>
        <v>#N/A</v>
      </c>
      <c r="L18" s="167" t="e">
        <f>INDEX($A:$H,MATCH(class2,vals!$A:$A,0),8)</f>
        <v>#N/A</v>
      </c>
      <c r="M18" s="6" t="e">
        <f>INDEX($A:$I,MATCH(class2,vals!$A:$A,0),9)</f>
        <v>#N/A</v>
      </c>
      <c r="N18" s="7" t="s">
        <v>69</v>
      </c>
      <c r="O18" s="6">
        <f>INDEX($N$26:$O$37,MATCH(dbase,$N$26:$N$37),2)</f>
        <v>3</v>
      </c>
      <c r="Q18" s="6" t="s">
        <v>24</v>
      </c>
      <c r="S18" s="6" t="s">
        <v>93</v>
      </c>
      <c r="T18" s="6" t="s">
        <v>294</v>
      </c>
      <c r="U18" s="6" t="s">
        <v>102</v>
      </c>
      <c r="V18" s="6" t="s">
        <v>19</v>
      </c>
      <c r="W18" s="6" t="s">
        <v>14</v>
      </c>
      <c r="X18" s="6" t="s">
        <v>95</v>
      </c>
      <c r="Y18" s="6" t="s">
        <v>345</v>
      </c>
      <c r="Z18" s="6" t="s">
        <v>306</v>
      </c>
      <c r="AA18" s="6" t="s">
        <v>300</v>
      </c>
      <c r="AB18" s="6" t="s">
        <v>289</v>
      </c>
      <c r="AC18" s="6" t="s">
        <v>16</v>
      </c>
      <c r="AD18" s="6" t="s">
        <v>35</v>
      </c>
      <c r="AE18" s="6" t="s">
        <v>19</v>
      </c>
      <c r="AF18" s="6" t="s">
        <v>95</v>
      </c>
      <c r="AG18" s="6" t="s">
        <v>95</v>
      </c>
      <c r="AH18" s="6" t="s">
        <v>282</v>
      </c>
      <c r="AI18" s="6" t="s">
        <v>287</v>
      </c>
      <c r="AJ18" s="6" t="s">
        <v>38</v>
      </c>
      <c r="AK18" s="6" t="s">
        <v>95</v>
      </c>
      <c r="AL18" s="6" t="s">
        <v>94</v>
      </c>
      <c r="AM18" s="6" t="s">
        <v>39</v>
      </c>
      <c r="AN18" s="6" t="s">
        <v>102</v>
      </c>
      <c r="AO18" s="6" t="s">
        <v>9</v>
      </c>
      <c r="AP18" s="6" t="s">
        <v>38</v>
      </c>
      <c r="AQ18" s="6" t="s">
        <v>377</v>
      </c>
      <c r="AR18" s="6" t="s">
        <v>300</v>
      </c>
      <c r="AS18" s="6" t="s">
        <v>376</v>
      </c>
      <c r="AT18" s="6" t="s">
        <v>7</v>
      </c>
      <c r="AU18" s="6" t="s">
        <v>27</v>
      </c>
      <c r="AV18" s="6" t="s">
        <v>308</v>
      </c>
      <c r="AW18" s="6" t="s">
        <v>27</v>
      </c>
      <c r="AX18" s="6" t="s">
        <v>101</v>
      </c>
      <c r="AY18" s="6" t="s">
        <v>95</v>
      </c>
      <c r="AZ18" s="6" t="s">
        <v>8</v>
      </c>
      <c r="BA18" s="6" t="s">
        <v>36</v>
      </c>
      <c r="BD18" s="57" t="s">
        <v>150</v>
      </c>
      <c r="BE18" s="43" t="str">
        <f>IF(OR(ISNUMBER(MATCH(class,vals!AI:AI,0)),ISNUMBER(MATCH(class2,vals!AI:AI,0)),ISNUMBER(MATCH(class3,vals!AI:AI,0))),"X","")</f>
        <v/>
      </c>
      <c r="BG18" s="6" t="s">
        <v>385</v>
      </c>
      <c r="BH18">
        <v>-2</v>
      </c>
      <c r="BI18">
        <v>2</v>
      </c>
      <c r="BM18">
        <v>2</v>
      </c>
    </row>
    <row r="19" spans="1:65">
      <c r="A19" t="s">
        <v>101</v>
      </c>
      <c r="B19" s="3">
        <v>1</v>
      </c>
      <c r="C19" s="3">
        <v>6</v>
      </c>
      <c r="D19" s="3">
        <v>6</v>
      </c>
      <c r="E19" s="3">
        <v>4</v>
      </c>
      <c r="F19" s="160">
        <v>0.5</v>
      </c>
      <c r="G19" s="160">
        <v>0.5</v>
      </c>
      <c r="H19" s="160">
        <v>0.33333333333333331</v>
      </c>
      <c r="I19" s="164">
        <v>2</v>
      </c>
      <c r="N19" s="7" t="s">
        <v>128</v>
      </c>
      <c r="O19" s="6">
        <f>INDEX($N$26:$O$37,MATCH(cbase,$N$26:$N$37),2)</f>
        <v>2</v>
      </c>
      <c r="Q19" s="6" t="s">
        <v>13</v>
      </c>
      <c r="S19" s="6" t="s">
        <v>95</v>
      </c>
      <c r="T19" s="6" t="s">
        <v>315</v>
      </c>
      <c r="U19" s="6" t="s">
        <v>95</v>
      </c>
      <c r="V19" s="6" t="s">
        <v>7</v>
      </c>
      <c r="W19" s="6" t="s">
        <v>5</v>
      </c>
      <c r="X19" s="6" t="s">
        <v>35</v>
      </c>
      <c r="Y19" s="6" t="s">
        <v>351</v>
      </c>
      <c r="Z19" s="6" t="s">
        <v>308</v>
      </c>
      <c r="AA19" s="6" t="s">
        <v>308</v>
      </c>
      <c r="AB19" s="6" t="s">
        <v>292</v>
      </c>
      <c r="AC19" s="6" t="s">
        <v>378</v>
      </c>
      <c r="AD19" s="6" t="s">
        <v>39</v>
      </c>
      <c r="AE19" s="6" t="s">
        <v>7</v>
      </c>
      <c r="AF19" s="6" t="s">
        <v>35</v>
      </c>
      <c r="AG19" s="6" t="s">
        <v>36</v>
      </c>
      <c r="AH19" s="6" t="s">
        <v>286</v>
      </c>
      <c r="AI19" s="6" t="s">
        <v>289</v>
      </c>
      <c r="AJ19" s="6" t="s">
        <v>39</v>
      </c>
      <c r="AK19" s="6" t="s">
        <v>36</v>
      </c>
      <c r="AL19" s="6" t="s">
        <v>95</v>
      </c>
      <c r="AM19" s="6" t="s">
        <v>280</v>
      </c>
      <c r="AN19" s="6" t="s">
        <v>94</v>
      </c>
      <c r="AO19" s="6" t="s">
        <v>94</v>
      </c>
      <c r="AP19" s="6" t="s">
        <v>39</v>
      </c>
      <c r="AQ19" s="6" t="s">
        <v>27</v>
      </c>
      <c r="AR19" s="6" t="s">
        <v>304</v>
      </c>
      <c r="AS19" s="6" t="s">
        <v>19</v>
      </c>
      <c r="AT19" s="6" t="s">
        <v>20</v>
      </c>
      <c r="AU19" s="6" t="s">
        <v>44</v>
      </c>
      <c r="AV19" s="6" t="s">
        <v>324</v>
      </c>
      <c r="AW19" s="6" t="s">
        <v>198</v>
      </c>
      <c r="AX19" s="6" t="s">
        <v>102</v>
      </c>
      <c r="AY19" s="6" t="s">
        <v>281</v>
      </c>
      <c r="AZ19" s="6" t="s">
        <v>377</v>
      </c>
      <c r="BA19" s="6" t="s">
        <v>37</v>
      </c>
      <c r="BD19" s="57" t="s">
        <v>151</v>
      </c>
      <c r="BE19" s="43" t="str">
        <f>IF(OR(ISNUMBER(MATCH(class,vals!AJ:AJ,0)),ISNUMBER(MATCH(class2,vals!AJ:AJ,0)),ISNUMBER(MATCH(class3,vals!AJ:AJ,0))),"X","")</f>
        <v/>
      </c>
      <c r="BG19" s="6" t="s">
        <v>440</v>
      </c>
      <c r="BH19" s="6">
        <v>2</v>
      </c>
      <c r="BI19" s="6"/>
      <c r="BJ19" s="6"/>
      <c r="BK19" s="6"/>
      <c r="BL19" s="6"/>
      <c r="BM19" s="6"/>
    </row>
    <row r="20" spans="1:65">
      <c r="A20" t="s">
        <v>102</v>
      </c>
      <c r="B20" s="3">
        <v>1</v>
      </c>
      <c r="C20" s="3">
        <v>6</v>
      </c>
      <c r="D20" s="3">
        <v>6</v>
      </c>
      <c r="E20" s="3">
        <v>4</v>
      </c>
      <c r="F20" s="160">
        <v>0.33333333333333331</v>
      </c>
      <c r="G20" s="160">
        <v>0.5</v>
      </c>
      <c r="H20" s="160">
        <v>0.5</v>
      </c>
      <c r="I20" s="164">
        <v>2</v>
      </c>
      <c r="J20" s="6" t="s">
        <v>182</v>
      </c>
      <c r="K20" s="6"/>
      <c r="N20" s="7" t="s">
        <v>129</v>
      </c>
      <c r="O20" s="6">
        <f>INDEX($N$26:$O$37,MATCH(ibase,$N$26:$N$37),2)</f>
        <v>3</v>
      </c>
      <c r="Q20" s="6" t="s">
        <v>25</v>
      </c>
      <c r="S20" s="6" t="s">
        <v>34</v>
      </c>
      <c r="T20" s="6" t="s">
        <v>319</v>
      </c>
      <c r="U20" s="6" t="s">
        <v>35</v>
      </c>
      <c r="V20" s="6" t="s">
        <v>8</v>
      </c>
      <c r="W20" s="6" t="s">
        <v>376</v>
      </c>
      <c r="X20" s="6" t="s">
        <v>36</v>
      </c>
      <c r="Y20" s="6" t="s">
        <v>353</v>
      </c>
      <c r="Z20" s="6" t="s">
        <v>320</v>
      </c>
      <c r="AA20" s="6" t="s">
        <v>320</v>
      </c>
      <c r="AB20" s="6" t="s">
        <v>298</v>
      </c>
      <c r="AC20" s="6" t="s">
        <v>29</v>
      </c>
      <c r="AD20" s="6" t="s">
        <v>279</v>
      </c>
      <c r="AE20" s="6" t="s">
        <v>8</v>
      </c>
      <c r="AF20" s="6" t="s">
        <v>37</v>
      </c>
      <c r="AG20" s="6" t="s">
        <v>38</v>
      </c>
      <c r="AH20" s="6" t="s">
        <v>289</v>
      </c>
      <c r="AI20" s="6" t="s">
        <v>291</v>
      </c>
      <c r="AJ20" s="6" t="s">
        <v>279</v>
      </c>
      <c r="AK20" s="6" t="s">
        <v>39</v>
      </c>
      <c r="AL20" s="6" t="s">
        <v>38</v>
      </c>
      <c r="AM20" s="6" t="s">
        <v>282</v>
      </c>
      <c r="AN20" s="6" t="s">
        <v>95</v>
      </c>
      <c r="AO20" s="6" t="s">
        <v>95</v>
      </c>
      <c r="AP20" s="6" t="s">
        <v>279</v>
      </c>
      <c r="AQ20" s="6" t="s">
        <v>44</v>
      </c>
      <c r="AR20" s="6" t="s">
        <v>308</v>
      </c>
      <c r="AS20" s="6" t="s">
        <v>15</v>
      </c>
      <c r="AT20" s="6" t="s">
        <v>26</v>
      </c>
      <c r="AU20" s="6" t="s">
        <v>28</v>
      </c>
      <c r="AV20" s="6" t="s">
        <v>330</v>
      </c>
      <c r="AW20" s="6" t="s">
        <v>16</v>
      </c>
      <c r="AX20" s="6" t="s">
        <v>34</v>
      </c>
      <c r="AY20" s="6" t="s">
        <v>287</v>
      </c>
      <c r="AZ20" s="6" t="s">
        <v>20</v>
      </c>
      <c r="BA20" s="6" t="s">
        <v>39</v>
      </c>
      <c r="BD20" s="57" t="s">
        <v>152</v>
      </c>
      <c r="BE20" s="43" t="str">
        <f>IF(OR(ISNUMBER(MATCH(class,vals!AK:AK,0)),ISNUMBER(MATCH(class2,vals!AK:AK,0)),ISNUMBER(MATCH(class3,vals!AK:AK,0))),"X","")</f>
        <v/>
      </c>
      <c r="BG20" s="6" t="s">
        <v>441</v>
      </c>
      <c r="BH20" s="6"/>
      <c r="BI20" s="6">
        <v>2</v>
      </c>
      <c r="BJ20" s="6"/>
      <c r="BK20" s="6"/>
      <c r="BL20" s="6"/>
      <c r="BM20" s="6"/>
    </row>
    <row r="21" spans="1:65">
      <c r="A21" t="s">
        <v>98</v>
      </c>
      <c r="B21" s="3">
        <v>0.75</v>
      </c>
      <c r="C21" s="3">
        <v>5</v>
      </c>
      <c r="D21" s="3">
        <v>5</v>
      </c>
      <c r="E21" s="3">
        <v>6</v>
      </c>
      <c r="F21" s="160">
        <v>0.33333333333333331</v>
      </c>
      <c r="G21" s="160">
        <v>0.33333333333333331</v>
      </c>
      <c r="H21" s="160">
        <v>0.5</v>
      </c>
      <c r="I21" s="164">
        <v>2</v>
      </c>
      <c r="J21" s="4" t="s">
        <v>43</v>
      </c>
      <c r="K21" s="3" t="e">
        <f>INDEX($A:$E,MATCH(class3,vals!$A:$A,0),2)</f>
        <v>#N/A</v>
      </c>
      <c r="N21" s="7" t="s">
        <v>130</v>
      </c>
      <c r="O21" s="6">
        <f>INDEX($N$26:$O$37,MATCH(wbase,$N$26:$N$37),2)</f>
        <v>10</v>
      </c>
      <c r="Q21" s="6" t="s">
        <v>34</v>
      </c>
      <c r="S21" s="6" t="s">
        <v>280</v>
      </c>
      <c r="T21" s="6" t="s">
        <v>320</v>
      </c>
      <c r="U21" s="6" t="s">
        <v>36</v>
      </c>
      <c r="V21" s="6" t="s">
        <v>377</v>
      </c>
      <c r="W21" s="6" t="s">
        <v>19</v>
      </c>
      <c r="X21" s="6" t="s">
        <v>37</v>
      </c>
      <c r="Z21" s="6" t="s">
        <v>324</v>
      </c>
      <c r="AA21" s="6" t="s">
        <v>323</v>
      </c>
      <c r="AB21" s="6" t="s">
        <v>299</v>
      </c>
      <c r="AC21" s="6" t="s">
        <v>94</v>
      </c>
      <c r="AD21" s="6" t="s">
        <v>286</v>
      </c>
      <c r="AE21" s="6" t="s">
        <v>377</v>
      </c>
      <c r="AF21" s="6" t="s">
        <v>38</v>
      </c>
      <c r="AG21" s="6" t="s">
        <v>39</v>
      </c>
      <c r="AH21" s="6" t="s">
        <v>290</v>
      </c>
      <c r="AI21" s="6" t="s">
        <v>292</v>
      </c>
      <c r="AJ21" s="6" t="s">
        <v>282</v>
      </c>
      <c r="AK21" s="6" t="s">
        <v>282</v>
      </c>
      <c r="AL21" s="6" t="s">
        <v>39</v>
      </c>
      <c r="AM21" s="6" t="s">
        <v>286</v>
      </c>
      <c r="AN21" s="6" t="s">
        <v>35</v>
      </c>
      <c r="AO21" s="6" t="s">
        <v>35</v>
      </c>
      <c r="AP21" s="6" t="s">
        <v>283</v>
      </c>
      <c r="AQ21" s="6" t="s">
        <v>28</v>
      </c>
      <c r="AR21" s="6" t="s">
        <v>309</v>
      </c>
      <c r="AS21" s="6" t="s">
        <v>6</v>
      </c>
      <c r="AT21" s="6" t="s">
        <v>27</v>
      </c>
      <c r="AU21" s="6" t="s">
        <v>29</v>
      </c>
      <c r="AV21" s="6" t="s">
        <v>331</v>
      </c>
      <c r="AW21" s="6" t="s">
        <v>378</v>
      </c>
      <c r="AX21" s="6" t="s">
        <v>36</v>
      </c>
      <c r="AY21" s="6" t="s">
        <v>292</v>
      </c>
      <c r="AZ21" s="6" t="s">
        <v>27</v>
      </c>
      <c r="BA21" s="6" t="s">
        <v>279</v>
      </c>
      <c r="BD21" s="57" t="s">
        <v>153</v>
      </c>
      <c r="BE21" s="43" t="str">
        <f>IF(OR(ISNUMBER(MATCH(class,vals!AL:AL,0)),ISNUMBER(MATCH(class2,vals!AL:AL,0)),ISNUMBER(MATCH(class3,vals!AL:AL,0))),"X","")</f>
        <v/>
      </c>
      <c r="BG21" s="6" t="s">
        <v>442</v>
      </c>
      <c r="BH21" s="6"/>
      <c r="BI21" s="6"/>
      <c r="BJ21" s="6">
        <v>2</v>
      </c>
      <c r="BK21" s="6"/>
      <c r="BL21" s="6"/>
      <c r="BM21" s="6"/>
    </row>
    <row r="22" spans="1:65">
      <c r="A22" t="s">
        <v>4</v>
      </c>
      <c r="B22" s="3">
        <v>1</v>
      </c>
      <c r="C22" s="3">
        <v>10</v>
      </c>
      <c r="D22" s="3">
        <f t="shared" ref="D22:D50" si="1">C22/2+1</f>
        <v>6</v>
      </c>
      <c r="E22" s="3">
        <v>2</v>
      </c>
      <c r="F22" s="160">
        <v>0.5</v>
      </c>
      <c r="G22" s="160">
        <v>0.33333333333333331</v>
      </c>
      <c r="H22" s="160">
        <v>0.33333333333333331</v>
      </c>
      <c r="I22" s="164">
        <v>2</v>
      </c>
      <c r="J22" s="4" t="s">
        <v>41</v>
      </c>
      <c r="K22" s="3" t="e">
        <f>INDEX($A:$E,MATCH(class3,vals!$A:$A,0),3)</f>
        <v>#N/A</v>
      </c>
      <c r="N22" s="7" t="s">
        <v>131</v>
      </c>
      <c r="O22" s="6">
        <f>INDEX($N$26:$O$37,MATCH(chbase,$N$26:$N$37),2)</f>
        <v>2</v>
      </c>
      <c r="Q22" s="6" t="s">
        <v>14</v>
      </c>
      <c r="S22" s="6" t="s">
        <v>282</v>
      </c>
      <c r="T22" s="6" t="s">
        <v>328</v>
      </c>
      <c r="U22" s="6" t="s">
        <v>38</v>
      </c>
      <c r="V22" s="6" t="s">
        <v>20</v>
      </c>
      <c r="W22" s="6" t="s">
        <v>15</v>
      </c>
      <c r="X22" s="6" t="s">
        <v>38</v>
      </c>
      <c r="Z22" s="6" t="s">
        <v>328</v>
      </c>
      <c r="AA22" s="6" t="s">
        <v>324</v>
      </c>
      <c r="AB22" s="6" t="s">
        <v>307</v>
      </c>
      <c r="AC22" s="6" t="s">
        <v>95</v>
      </c>
      <c r="AD22" s="6" t="s">
        <v>287</v>
      </c>
      <c r="AE22" s="6" t="s">
        <v>20</v>
      </c>
      <c r="AF22" s="6" t="s">
        <v>39</v>
      </c>
      <c r="AG22" s="6" t="s">
        <v>282</v>
      </c>
      <c r="AH22" s="6" t="s">
        <v>291</v>
      </c>
      <c r="AI22" s="6" t="s">
        <v>299</v>
      </c>
      <c r="AJ22" s="6" t="s">
        <v>284</v>
      </c>
      <c r="AK22" s="6" t="s">
        <v>286</v>
      </c>
      <c r="AL22" s="6" t="s">
        <v>282</v>
      </c>
      <c r="AM22" s="6" t="s">
        <v>289</v>
      </c>
      <c r="AN22" s="6" t="s">
        <v>37</v>
      </c>
      <c r="AO22" s="6" t="s">
        <v>36</v>
      </c>
      <c r="AP22" s="6" t="s">
        <v>285</v>
      </c>
      <c r="AQ22" s="6" t="s">
        <v>93</v>
      </c>
      <c r="AR22" s="6" t="s">
        <v>319</v>
      </c>
      <c r="AS22" s="6" t="s">
        <v>8</v>
      </c>
      <c r="AT22" s="6" t="s">
        <v>44</v>
      </c>
      <c r="AU22" s="6" t="s">
        <v>99</v>
      </c>
      <c r="AV22" s="6" t="s">
        <v>342</v>
      </c>
      <c r="AW22" s="6" t="s">
        <v>29</v>
      </c>
      <c r="AX22" s="6" t="s">
        <v>281</v>
      </c>
      <c r="AY22" s="6" t="s">
        <v>305</v>
      </c>
      <c r="AZ22" s="6" t="s">
        <v>44</v>
      </c>
      <c r="BA22" s="6" t="s">
        <v>283</v>
      </c>
      <c r="BD22" s="57" t="s">
        <v>154</v>
      </c>
      <c r="BE22" s="43" t="str">
        <f>IF(OR(ISNUMBER(MATCH(class,vals!AM:AM,0)),ISNUMBER(MATCH(class2,vals!AM:AM,0)),ISNUMBER(MATCH(class3,vals!AM:AM,0))),"X","")</f>
        <v/>
      </c>
      <c r="BG22" s="6" t="s">
        <v>443</v>
      </c>
      <c r="BH22" s="6"/>
      <c r="BI22" s="6"/>
      <c r="BJ22" s="6"/>
      <c r="BK22" s="6">
        <v>2</v>
      </c>
      <c r="BL22" s="6"/>
      <c r="BM22" s="6"/>
    </row>
    <row r="23" spans="1:65">
      <c r="A23" t="s">
        <v>12</v>
      </c>
      <c r="B23" s="3">
        <v>1</v>
      </c>
      <c r="C23" s="3">
        <v>10</v>
      </c>
      <c r="D23" s="3">
        <f t="shared" si="1"/>
        <v>6</v>
      </c>
      <c r="E23" s="3">
        <v>4</v>
      </c>
      <c r="F23" s="160">
        <v>0.5</v>
      </c>
      <c r="G23" s="160">
        <v>0.5</v>
      </c>
      <c r="H23" s="160">
        <v>0.33333333333333331</v>
      </c>
      <c r="I23" s="164">
        <v>2</v>
      </c>
      <c r="J23" s="4" t="s">
        <v>42</v>
      </c>
      <c r="K23" s="3" t="e">
        <f>INDEX($A:$E,MATCH(class3,vals!$A:$A,0),4)</f>
        <v>#N/A</v>
      </c>
      <c r="Q23" s="6" t="s">
        <v>35</v>
      </c>
      <c r="S23" s="6" t="s">
        <v>285</v>
      </c>
      <c r="T23" s="6" t="s">
        <v>330</v>
      </c>
      <c r="U23" s="6" t="s">
        <v>39</v>
      </c>
      <c r="V23" s="6" t="s">
        <v>27</v>
      </c>
      <c r="W23" s="6" t="s">
        <v>6</v>
      </c>
      <c r="X23" s="6" t="s">
        <v>280</v>
      </c>
      <c r="Z23" s="6" t="s">
        <v>329</v>
      </c>
      <c r="AA23" s="6" t="s">
        <v>329</v>
      </c>
      <c r="AB23" s="6" t="s">
        <v>346</v>
      </c>
      <c r="AC23" s="6" t="s">
        <v>96</v>
      </c>
      <c r="AD23" s="6" t="s">
        <v>289</v>
      </c>
      <c r="AE23" s="6" t="s">
        <v>27</v>
      </c>
      <c r="AF23" s="6" t="s">
        <v>279</v>
      </c>
      <c r="AG23" s="6" t="s">
        <v>289</v>
      </c>
      <c r="AH23" s="6" t="s">
        <v>292</v>
      </c>
      <c r="AI23" s="6" t="s">
        <v>302</v>
      </c>
      <c r="AJ23" s="6" t="s">
        <v>286</v>
      </c>
      <c r="AK23" s="6" t="s">
        <v>287</v>
      </c>
      <c r="AL23" s="6" t="s">
        <v>289</v>
      </c>
      <c r="AM23" s="6" t="s">
        <v>291</v>
      </c>
      <c r="AN23" s="6" t="s">
        <v>38</v>
      </c>
      <c r="AO23" s="6" t="s">
        <v>37</v>
      </c>
      <c r="AP23" s="6" t="s">
        <v>292</v>
      </c>
      <c r="AQ23" s="6" t="s">
        <v>99</v>
      </c>
      <c r="AR23" s="6" t="s">
        <v>328</v>
      </c>
      <c r="AS23" s="6" t="s">
        <v>377</v>
      </c>
      <c r="AT23" s="6" t="s">
        <v>16</v>
      </c>
      <c r="AU23" s="6" t="s">
        <v>100</v>
      </c>
      <c r="AW23" s="6" t="s">
        <v>17</v>
      </c>
      <c r="AX23" s="6" t="s">
        <v>282</v>
      </c>
      <c r="AY23" s="6" t="s">
        <v>307</v>
      </c>
      <c r="AZ23" s="6" t="s">
        <v>28</v>
      </c>
      <c r="BA23" s="6" t="s">
        <v>284</v>
      </c>
      <c r="BD23" s="57" t="s">
        <v>155</v>
      </c>
      <c r="BE23" s="43" t="str">
        <f>IF(OR(ISNUMBER(MATCH(class,vals!AN:AN,0)),ISNUMBER(MATCH(class2,vals!AN:AN,0)),ISNUMBER(MATCH(class3,vals!AN:AN,0))),"X","")</f>
        <v/>
      </c>
      <c r="BG23" s="6" t="s">
        <v>444</v>
      </c>
      <c r="BH23" s="6"/>
      <c r="BI23" s="6"/>
      <c r="BJ23" s="6"/>
      <c r="BK23" s="6"/>
      <c r="BL23" s="6">
        <v>2</v>
      </c>
      <c r="BM23" s="6"/>
    </row>
    <row r="24" spans="1:65">
      <c r="A24" t="s">
        <v>24</v>
      </c>
      <c r="B24" s="3">
        <v>0.75</v>
      </c>
      <c r="C24" s="3">
        <v>8</v>
      </c>
      <c r="D24" s="3">
        <f t="shared" si="1"/>
        <v>5</v>
      </c>
      <c r="E24" s="3">
        <v>6</v>
      </c>
      <c r="F24" s="160">
        <v>0.5</v>
      </c>
      <c r="G24" s="160">
        <v>0.5</v>
      </c>
      <c r="H24" s="160">
        <v>0.33333333333333331</v>
      </c>
      <c r="I24" s="164">
        <v>2</v>
      </c>
      <c r="J24" s="4" t="s">
        <v>56</v>
      </c>
      <c r="K24" s="3" t="e">
        <f>INDEX($A:$E,MATCH(class3,vals!$A:$A,0),5)</f>
        <v>#N/A</v>
      </c>
      <c r="L24" s="6" t="e">
        <f>IF((cl2Skills+ibon-ROUNDDOWN(ienhance/2,0))*cl2level&lt;cl2level,cl2level,(cl2Skills+ibon-ROUNDDOWN(ienhance/2,0))*cl2level)</f>
        <v>#N/A</v>
      </c>
      <c r="N24" s="4" t="s">
        <v>132</v>
      </c>
      <c r="O24">
        <f>SUM(O17:O22)</f>
        <v>20</v>
      </c>
      <c r="Q24" s="6" t="s">
        <v>36</v>
      </c>
      <c r="S24" s="6" t="s">
        <v>287</v>
      </c>
      <c r="T24" s="6" t="s">
        <v>331</v>
      </c>
      <c r="U24" s="6" t="s">
        <v>279</v>
      </c>
      <c r="V24" s="6" t="s">
        <v>44</v>
      </c>
      <c r="W24" s="6" t="s">
        <v>7</v>
      </c>
      <c r="X24" s="6" t="s">
        <v>282</v>
      </c>
      <c r="Z24" s="6" t="s">
        <v>330</v>
      </c>
      <c r="AA24" s="6" t="s">
        <v>330</v>
      </c>
      <c r="AB24" s="6" t="s">
        <v>350</v>
      </c>
      <c r="AC24" s="6" t="s">
        <v>97</v>
      </c>
      <c r="AD24" s="6" t="s">
        <v>291</v>
      </c>
      <c r="AE24" s="6" t="s">
        <v>44</v>
      </c>
      <c r="AF24" s="6" t="s">
        <v>282</v>
      </c>
      <c r="AG24" s="6" t="s">
        <v>291</v>
      </c>
      <c r="AH24" s="6" t="s">
        <v>299</v>
      </c>
      <c r="AI24" s="6" t="s">
        <v>307</v>
      </c>
      <c r="AJ24" s="6" t="s">
        <v>289</v>
      </c>
      <c r="AK24" s="6" t="s">
        <v>289</v>
      </c>
      <c r="AL24" s="6" t="s">
        <v>291</v>
      </c>
      <c r="AM24" s="6" t="s">
        <v>292</v>
      </c>
      <c r="AN24" s="6" t="s">
        <v>39</v>
      </c>
      <c r="AO24" s="6" t="s">
        <v>38</v>
      </c>
      <c r="AP24" s="6" t="s">
        <v>294</v>
      </c>
      <c r="AQ24" s="6" t="s">
        <v>100</v>
      </c>
      <c r="AR24" s="6" t="s">
        <v>330</v>
      </c>
      <c r="AS24" s="6" t="s">
        <v>20</v>
      </c>
      <c r="AT24" s="6" t="s">
        <v>378</v>
      </c>
      <c r="AU24" s="6" t="s">
        <v>101</v>
      </c>
      <c r="AW24" s="6" t="s">
        <v>9</v>
      </c>
      <c r="AX24" s="6" t="s">
        <v>285</v>
      </c>
      <c r="AY24" s="6" t="s">
        <v>313</v>
      </c>
      <c r="AZ24" s="6" t="s">
        <v>29</v>
      </c>
      <c r="BA24" s="6" t="s">
        <v>285</v>
      </c>
      <c r="BD24" s="57" t="s">
        <v>156</v>
      </c>
      <c r="BE24" s="43" t="str">
        <f>IF(OR(ISNUMBER(MATCH(class,vals!AO:AO,0)),ISNUMBER(MATCH(class2,vals!AO:AO,0)),ISNUMBER(MATCH(class3,vals!AO:AO,0))),"X","")</f>
        <v/>
      </c>
      <c r="BG24" s="6" t="s">
        <v>445</v>
      </c>
      <c r="BH24" s="6"/>
      <c r="BI24" s="6"/>
      <c r="BJ24" s="6"/>
      <c r="BK24" s="6"/>
      <c r="BL24" s="6"/>
      <c r="BM24" s="6">
        <v>2</v>
      </c>
    </row>
    <row r="25" spans="1:65">
      <c r="A25" t="s">
        <v>13</v>
      </c>
      <c r="B25" s="3">
        <v>0.75</v>
      </c>
      <c r="C25" s="3">
        <v>8</v>
      </c>
      <c r="D25" s="3">
        <f t="shared" si="1"/>
        <v>5</v>
      </c>
      <c r="E25" s="3">
        <v>6</v>
      </c>
      <c r="F25" s="160">
        <v>0.5</v>
      </c>
      <c r="G25" s="160">
        <v>0.33333333333333331</v>
      </c>
      <c r="H25" s="160">
        <v>0.5</v>
      </c>
      <c r="I25" s="164">
        <v>2</v>
      </c>
      <c r="J25" s="4" t="s">
        <v>88</v>
      </c>
      <c r="K25" s="3" t="e">
        <f>IF(AND((L25=0.5),M25=2),(2+ROUNDDOWN(cl3level*L25,0)),IF(M25=2,ROUNDDOWN(cl3level*L25,0),ROUND(cl3level*L25,0)))</f>
        <v>#N/A</v>
      </c>
      <c r="L25" s="167" t="e">
        <f>INDEX($A:$H,MATCH(class3,vals!$A:$A,0),6)</f>
        <v>#N/A</v>
      </c>
      <c r="M25" s="6" t="e">
        <f>INDEX($A:$I,MATCH(class3,vals!$A:$A,0),9)</f>
        <v>#N/A</v>
      </c>
      <c r="Q25" s="6" t="s">
        <v>5</v>
      </c>
      <c r="S25" s="6" t="s">
        <v>291</v>
      </c>
      <c r="T25" s="6" t="s">
        <v>333</v>
      </c>
      <c r="U25" s="6" t="s">
        <v>280</v>
      </c>
      <c r="V25" s="6" t="s">
        <v>28</v>
      </c>
      <c r="W25" s="6" t="s">
        <v>8</v>
      </c>
      <c r="X25" s="6" t="s">
        <v>283</v>
      </c>
      <c r="Z25" s="6" t="s">
        <v>339</v>
      </c>
      <c r="AA25" s="6" t="s">
        <v>331</v>
      </c>
      <c r="AB25" s="6" t="s">
        <v>353</v>
      </c>
      <c r="AC25" s="6" t="s">
        <v>286</v>
      </c>
      <c r="AD25" s="6" t="s">
        <v>293</v>
      </c>
      <c r="AE25" s="6" t="s">
        <v>198</v>
      </c>
      <c r="AF25" s="6" t="s">
        <v>284</v>
      </c>
      <c r="AG25" s="6" t="s">
        <v>292</v>
      </c>
      <c r="AH25" s="6" t="s">
        <v>302</v>
      </c>
      <c r="AI25" s="6" t="s">
        <v>311</v>
      </c>
      <c r="AJ25" s="6" t="s">
        <v>290</v>
      </c>
      <c r="AK25" s="6" t="s">
        <v>291</v>
      </c>
      <c r="AL25" s="6" t="s">
        <v>292</v>
      </c>
      <c r="AM25" s="6" t="s">
        <v>299</v>
      </c>
      <c r="AN25" s="6" t="s">
        <v>282</v>
      </c>
      <c r="AO25" s="6" t="s">
        <v>39</v>
      </c>
      <c r="AP25" s="6" t="s">
        <v>301</v>
      </c>
      <c r="AQ25" s="6" t="s">
        <v>101</v>
      </c>
      <c r="AR25" s="6" t="s">
        <v>334</v>
      </c>
      <c r="AS25" s="6" t="s">
        <v>26</v>
      </c>
      <c r="AT25" s="6" t="s">
        <v>28</v>
      </c>
      <c r="AU25" s="6" t="s">
        <v>102</v>
      </c>
      <c r="AW25" s="6" t="s">
        <v>94</v>
      </c>
      <c r="AX25" s="6" t="s">
        <v>287</v>
      </c>
      <c r="AY25" s="6" t="s">
        <v>317</v>
      </c>
      <c r="AZ25" s="6" t="s">
        <v>93</v>
      </c>
      <c r="BA25" s="6" t="s">
        <v>289</v>
      </c>
      <c r="BD25" s="57" t="s">
        <v>157</v>
      </c>
      <c r="BE25" s="43" t="str">
        <f>IF(OR(ISNUMBER(MATCH(class,vals!AP:AP,0)),ISNUMBER(MATCH(class2,vals!AP:AP,0)),ISNUMBER(MATCH(class3,vals!AP:AP,0))),"X","")</f>
        <v/>
      </c>
      <c r="BG25" t="s">
        <v>386</v>
      </c>
      <c r="BL25">
        <v>2</v>
      </c>
      <c r="BM25">
        <v>2</v>
      </c>
    </row>
    <row r="26" spans="1:65">
      <c r="A26" t="s">
        <v>25</v>
      </c>
      <c r="B26" s="3">
        <v>0.75</v>
      </c>
      <c r="C26" s="3">
        <v>8</v>
      </c>
      <c r="D26" s="3">
        <f t="shared" si="1"/>
        <v>5</v>
      </c>
      <c r="E26" s="3">
        <v>6</v>
      </c>
      <c r="F26" s="160">
        <v>0.33333333333333331</v>
      </c>
      <c r="G26" s="160">
        <v>0.5</v>
      </c>
      <c r="H26" s="160">
        <v>0.5</v>
      </c>
      <c r="I26" s="164">
        <v>2</v>
      </c>
      <c r="J26" s="4" t="s">
        <v>91</v>
      </c>
      <c r="K26" s="3" t="e">
        <f>IF(AND((L26=0.5),M26=2),(2+ROUNDDOWN(cl3level*L26,0)),IF(M26=2,ROUNDDOWN(cl3level*L26,0),ROUND(cl3level*L26,0)))</f>
        <v>#N/A</v>
      </c>
      <c r="L26" s="167" t="e">
        <f>INDEX($A:$H,MATCH(class3,vals!$A:$A,0),7)</f>
        <v>#N/A</v>
      </c>
      <c r="M26" s="6" t="e">
        <f>INDEX($A:$I,MATCH(class3,vals!$A:$A,0),9)</f>
        <v>#N/A</v>
      </c>
      <c r="N26">
        <v>7</v>
      </c>
      <c r="O26">
        <v>-4</v>
      </c>
      <c r="Q26" s="6" t="s">
        <v>19</v>
      </c>
      <c r="S26" s="6" t="s">
        <v>300</v>
      </c>
      <c r="T26" s="6" t="s">
        <v>335</v>
      </c>
      <c r="U26" s="6" t="s">
        <v>282</v>
      </c>
      <c r="V26" s="6" t="s">
        <v>29</v>
      </c>
      <c r="W26" s="6" t="s">
        <v>377</v>
      </c>
      <c r="X26" s="6" t="s">
        <v>285</v>
      </c>
      <c r="Z26" s="6" t="s">
        <v>342</v>
      </c>
      <c r="AA26" s="6" t="s">
        <v>332</v>
      </c>
      <c r="AC26" s="6" t="s">
        <v>307</v>
      </c>
      <c r="AD26" s="6" t="s">
        <v>303</v>
      </c>
      <c r="AE26" s="6" t="s">
        <v>378</v>
      </c>
      <c r="AF26" s="6" t="s">
        <v>288</v>
      </c>
      <c r="AG26" s="6" t="s">
        <v>299</v>
      </c>
      <c r="AH26" s="6" t="s">
        <v>311</v>
      </c>
      <c r="AI26" s="6" t="s">
        <v>313</v>
      </c>
      <c r="AJ26" s="6" t="s">
        <v>291</v>
      </c>
      <c r="AK26" s="6" t="s">
        <v>292</v>
      </c>
      <c r="AL26" s="6" t="s">
        <v>299</v>
      </c>
      <c r="AM26" s="6" t="s">
        <v>301</v>
      </c>
      <c r="AN26" s="6" t="s">
        <v>288</v>
      </c>
      <c r="AO26" s="6" t="s">
        <v>279</v>
      </c>
      <c r="AP26" s="6" t="s">
        <v>302</v>
      </c>
      <c r="AQ26" s="6" t="s">
        <v>102</v>
      </c>
      <c r="AR26" s="6" t="s">
        <v>342</v>
      </c>
      <c r="AS26" s="6" t="s">
        <v>27</v>
      </c>
      <c r="AT26" s="6" t="s">
        <v>29</v>
      </c>
      <c r="AU26" s="6" t="s">
        <v>95</v>
      </c>
      <c r="AW26" s="6" t="s">
        <v>35</v>
      </c>
      <c r="AX26" s="6" t="s">
        <v>290</v>
      </c>
      <c r="AY26" s="6" t="s">
        <v>320</v>
      </c>
      <c r="AZ26" s="6" t="s">
        <v>95</v>
      </c>
      <c r="BA26" s="6" t="s">
        <v>292</v>
      </c>
      <c r="BD26" s="57" t="s">
        <v>158</v>
      </c>
      <c r="BE26" s="43" t="str">
        <f>IF(OR(ISNUMBER(MATCH(class,vals!AQ:AQ,0)),ISNUMBER(MATCH(class2,vals!AQ:AQ,0)),ISNUMBER(MATCH(class3,vals!AQ:AQ,0))),"X","")</f>
        <v/>
      </c>
      <c r="BG26" s="6" t="s">
        <v>446</v>
      </c>
      <c r="BJ26">
        <v>2</v>
      </c>
      <c r="BM26">
        <v>2</v>
      </c>
    </row>
    <row r="27" spans="1:65">
      <c r="A27" t="s">
        <v>34</v>
      </c>
      <c r="B27" s="3">
        <v>0.75</v>
      </c>
      <c r="C27" s="3">
        <v>8</v>
      </c>
      <c r="D27" s="3">
        <f t="shared" si="1"/>
        <v>5</v>
      </c>
      <c r="E27" s="3">
        <v>4</v>
      </c>
      <c r="F27" s="160">
        <v>0.5</v>
      </c>
      <c r="G27" s="160">
        <v>0.5</v>
      </c>
      <c r="H27" s="166">
        <v>0.33333333333333331</v>
      </c>
      <c r="I27" s="164">
        <v>2</v>
      </c>
      <c r="J27" s="4" t="s">
        <v>89</v>
      </c>
      <c r="K27" s="3" t="e">
        <f>IF(AND((L27=0.5),M27=2),(2+ROUNDDOWN(cl3level*L27,0)),IF(M27=2,ROUNDDOWN(cl3level*L27,0),ROUND(cl3level*L27,0)))</f>
        <v>#N/A</v>
      </c>
      <c r="L27" s="167" t="e">
        <f>INDEX($A:$H,MATCH(class3,vals!$A:$A,0),8)</f>
        <v>#N/A</v>
      </c>
      <c r="M27" s="6" t="e">
        <f>INDEX($A:$I,MATCH(class3,vals!$A:$A,0),9)</f>
        <v>#N/A</v>
      </c>
      <c r="N27">
        <v>8</v>
      </c>
      <c r="O27">
        <v>-2</v>
      </c>
      <c r="Q27" s="6" t="s">
        <v>37</v>
      </c>
      <c r="S27" s="6" t="s">
        <v>308</v>
      </c>
      <c r="T27" s="6" t="s">
        <v>339</v>
      </c>
      <c r="U27" s="6" t="s">
        <v>284</v>
      </c>
      <c r="V27" s="6" t="s">
        <v>93</v>
      </c>
      <c r="W27" s="6" t="s">
        <v>20</v>
      </c>
      <c r="X27" s="6" t="s">
        <v>286</v>
      </c>
      <c r="Z27" s="6" t="s">
        <v>345</v>
      </c>
      <c r="AA27" s="6" t="s">
        <v>334</v>
      </c>
      <c r="AC27" s="6" t="s">
        <v>313</v>
      </c>
      <c r="AD27" s="6" t="s">
        <v>304</v>
      </c>
      <c r="AE27" s="6" t="s">
        <v>28</v>
      </c>
      <c r="AF27" s="6" t="s">
        <v>289</v>
      </c>
      <c r="AG27" s="6" t="s">
        <v>302</v>
      </c>
      <c r="AH27" s="6" t="s">
        <v>318</v>
      </c>
      <c r="AI27" s="6" t="s">
        <v>319</v>
      </c>
      <c r="AJ27" s="6" t="s">
        <v>292</v>
      </c>
      <c r="AK27" s="6" t="s">
        <v>295</v>
      </c>
      <c r="AL27" s="6" t="s">
        <v>302</v>
      </c>
      <c r="AM27" s="6" t="s">
        <v>302</v>
      </c>
      <c r="AN27" s="6" t="s">
        <v>289</v>
      </c>
      <c r="AO27" s="6" t="s">
        <v>282</v>
      </c>
      <c r="AP27" s="6" t="s">
        <v>304</v>
      </c>
      <c r="AQ27" s="6" t="s">
        <v>95</v>
      </c>
      <c r="AS27" s="6" t="s">
        <v>44</v>
      </c>
      <c r="AT27" s="6" t="s">
        <v>95</v>
      </c>
      <c r="AU27" s="6" t="s">
        <v>35</v>
      </c>
      <c r="AW27" s="6" t="s">
        <v>36</v>
      </c>
      <c r="AX27" s="6" t="s">
        <v>293</v>
      </c>
      <c r="AY27" s="6" t="s">
        <v>321</v>
      </c>
      <c r="AZ27" s="6" t="s">
        <v>97</v>
      </c>
      <c r="BA27" s="6" t="s">
        <v>294</v>
      </c>
      <c r="BD27" s="57" t="s">
        <v>159</v>
      </c>
      <c r="BE27" s="43" t="str">
        <f>IF(OR(ISNUMBER(MATCH(class,vals!AR:AR,0)),ISNUMBER(MATCH(class2,vals!AR:AR,0)),ISNUMBER(MATCH(class3,vals!AR:AR,0))),"X","")</f>
        <v/>
      </c>
      <c r="BG27" s="6" t="s">
        <v>447</v>
      </c>
      <c r="BH27">
        <v>2</v>
      </c>
      <c r="BM27">
        <v>2</v>
      </c>
    </row>
    <row r="28" spans="1:65">
      <c r="A28" t="s">
        <v>14</v>
      </c>
      <c r="B28" s="3">
        <v>0.75</v>
      </c>
      <c r="C28" s="3">
        <v>8</v>
      </c>
      <c r="D28" s="3">
        <f t="shared" si="1"/>
        <v>5</v>
      </c>
      <c r="E28" s="3">
        <v>2</v>
      </c>
      <c r="F28" s="160">
        <v>0.5</v>
      </c>
      <c r="G28" s="160">
        <v>0.33333333333333331</v>
      </c>
      <c r="H28" s="160">
        <v>0.5</v>
      </c>
      <c r="I28" s="164">
        <v>2</v>
      </c>
      <c r="N28">
        <v>9</v>
      </c>
      <c r="O28">
        <v>-1</v>
      </c>
      <c r="Q28" s="6" t="s">
        <v>15</v>
      </c>
      <c r="S28" s="6" t="s">
        <v>318</v>
      </c>
      <c r="T28" s="6" t="s">
        <v>353</v>
      </c>
      <c r="U28" s="6" t="s">
        <v>285</v>
      </c>
      <c r="V28" s="6" t="s">
        <v>96</v>
      </c>
      <c r="W28" s="6" t="s">
        <v>26</v>
      </c>
      <c r="X28" s="6" t="s">
        <v>287</v>
      </c>
      <c r="Z28" s="6" t="s">
        <v>357</v>
      </c>
      <c r="AA28" s="6" t="s">
        <v>339</v>
      </c>
      <c r="AC28" s="6" t="s">
        <v>319</v>
      </c>
      <c r="AD28" s="6" t="s">
        <v>305</v>
      </c>
      <c r="AE28" s="6" t="s">
        <v>29</v>
      </c>
      <c r="AF28" s="6" t="s">
        <v>291</v>
      </c>
      <c r="AG28" s="6" t="s">
        <v>311</v>
      </c>
      <c r="AH28" s="6" t="s">
        <v>319</v>
      </c>
      <c r="AI28" s="6" t="s">
        <v>321</v>
      </c>
      <c r="AJ28" s="6" t="s">
        <v>295</v>
      </c>
      <c r="AK28" s="6" t="s">
        <v>299</v>
      </c>
      <c r="AL28" s="6" t="s">
        <v>307</v>
      </c>
      <c r="AM28" s="6" t="s">
        <v>311</v>
      </c>
      <c r="AN28" s="6" t="s">
        <v>291</v>
      </c>
      <c r="AO28" s="6" t="s">
        <v>289</v>
      </c>
      <c r="AP28" s="6" t="s">
        <v>308</v>
      </c>
      <c r="AQ28" s="6" t="s">
        <v>96</v>
      </c>
      <c r="AS28" s="6" t="s">
        <v>198</v>
      </c>
      <c r="AT28" s="6" t="s">
        <v>96</v>
      </c>
      <c r="AU28" s="6" t="s">
        <v>36</v>
      </c>
      <c r="AW28" s="6" t="s">
        <v>37</v>
      </c>
      <c r="AX28" s="6" t="s">
        <v>295</v>
      </c>
      <c r="AY28" s="6" t="s">
        <v>322</v>
      </c>
      <c r="AZ28" s="6" t="s">
        <v>282</v>
      </c>
      <c r="BA28" s="6" t="s">
        <v>302</v>
      </c>
      <c r="BD28" s="57" t="s">
        <v>160</v>
      </c>
      <c r="BE28" s="43" t="str">
        <f>IF(OR(ISNUMBER(MATCH(class,vals!AS:AS,0)),ISNUMBER(MATCH(class2,vals!AS:AS,0)),ISNUMBER(MATCH(class3,vals!AS:AS,0))),"X","")</f>
        <v>X</v>
      </c>
      <c r="BG28" s="6" t="s">
        <v>448</v>
      </c>
      <c r="BJ28">
        <v>2</v>
      </c>
      <c r="BL28">
        <v>2</v>
      </c>
    </row>
    <row r="29" spans="1:65">
      <c r="A29" t="s">
        <v>35</v>
      </c>
      <c r="B29" s="3">
        <v>0.75</v>
      </c>
      <c r="C29" s="3">
        <v>8</v>
      </c>
      <c r="D29" s="3">
        <f t="shared" si="1"/>
        <v>5</v>
      </c>
      <c r="E29" s="3">
        <v>4</v>
      </c>
      <c r="F29" s="160">
        <v>0.33333333333333331</v>
      </c>
      <c r="G29" s="160">
        <v>0.33333333333333331</v>
      </c>
      <c r="H29" s="160">
        <v>0.5</v>
      </c>
      <c r="I29" s="164">
        <v>2</v>
      </c>
      <c r="J29" s="4" t="s">
        <v>359</v>
      </c>
      <c r="K29">
        <f>IF(CasterStat="Int",ibon,IF(CasterStat="Wis",wbon,IF(CasterStat="Cha",chbon,0)))</f>
        <v>1</v>
      </c>
      <c r="N29">
        <v>10</v>
      </c>
      <c r="O29">
        <v>0</v>
      </c>
      <c r="Q29" s="6" t="s">
        <v>6</v>
      </c>
      <c r="S29" s="6" t="s">
        <v>323</v>
      </c>
      <c r="U29" s="6" t="s">
        <v>286</v>
      </c>
      <c r="V29" s="6" t="s">
        <v>97</v>
      </c>
      <c r="W29" s="6" t="s">
        <v>27</v>
      </c>
      <c r="X29" s="6" t="s">
        <v>291</v>
      </c>
      <c r="Z29" s="6" t="s">
        <v>18</v>
      </c>
      <c r="AA29" s="6" t="s">
        <v>342</v>
      </c>
      <c r="AC29" s="6" t="s">
        <v>320</v>
      </c>
      <c r="AD29" s="6" t="s">
        <v>307</v>
      </c>
      <c r="AE29" s="6" t="s">
        <v>17</v>
      </c>
      <c r="AF29" s="6" t="s">
        <v>292</v>
      </c>
      <c r="AG29" s="6" t="s">
        <v>317</v>
      </c>
      <c r="AH29" s="6" t="s">
        <v>321</v>
      </c>
      <c r="AI29" s="6" t="s">
        <v>324</v>
      </c>
      <c r="AJ29" s="6" t="s">
        <v>299</v>
      </c>
      <c r="AK29" s="6" t="s">
        <v>302</v>
      </c>
      <c r="AL29" s="6" t="s">
        <v>311</v>
      </c>
      <c r="AM29" s="6" t="s">
        <v>314</v>
      </c>
      <c r="AN29" s="6" t="s">
        <v>292</v>
      </c>
      <c r="AO29" s="6" t="s">
        <v>291</v>
      </c>
      <c r="AP29" s="6" t="s">
        <v>311</v>
      </c>
      <c r="AQ29" s="6" t="s">
        <v>34</v>
      </c>
      <c r="AS29" s="6" t="s">
        <v>16</v>
      </c>
      <c r="AT29" s="6" t="s">
        <v>97</v>
      </c>
      <c r="AU29" s="6" t="s">
        <v>37</v>
      </c>
      <c r="AW29" s="6" t="s">
        <v>38</v>
      </c>
      <c r="AX29" s="6" t="s">
        <v>296</v>
      </c>
      <c r="AY29" s="6" t="s">
        <v>327</v>
      </c>
      <c r="AZ29" s="6" t="s">
        <v>285</v>
      </c>
      <c r="BA29" s="6" t="s">
        <v>309</v>
      </c>
      <c r="BD29" s="57" t="s">
        <v>161</v>
      </c>
      <c r="BE29" s="43" t="str">
        <f>IF(OR(ISNUMBER(MATCH(class,vals!AT:AT,0)),ISNUMBER(MATCH(class2,vals!AT:AT,0)),ISNUMBER(MATCH(class3,vals!AT:AT,0))),"X","")</f>
        <v>X</v>
      </c>
      <c r="BG29" s="6" t="s">
        <v>449</v>
      </c>
      <c r="BI29">
        <v>2</v>
      </c>
      <c r="BM29">
        <v>2</v>
      </c>
    </row>
    <row r="30" spans="1:65">
      <c r="A30" t="s">
        <v>36</v>
      </c>
      <c r="B30" s="3">
        <v>0.75</v>
      </c>
      <c r="C30" s="3">
        <v>8</v>
      </c>
      <c r="D30" s="3">
        <f t="shared" si="1"/>
        <v>5</v>
      </c>
      <c r="E30" s="3">
        <v>6</v>
      </c>
      <c r="F30" s="160">
        <v>0.33333333333333331</v>
      </c>
      <c r="G30" s="160">
        <v>0.5</v>
      </c>
      <c r="H30" s="160">
        <v>0.5</v>
      </c>
      <c r="I30" s="164">
        <v>2</v>
      </c>
      <c r="J30" s="4" t="s">
        <v>175</v>
      </c>
      <c r="K30" s="6">
        <f>(HD+HALFHD*(level-1)+level*cbon)+IF(ISBLANK(class2),0,(cl2HALFHD*cl2level+cl2level*cbon))+IF(ISBLANK(class3),0,(cl3HALFHD*cl3level+cl3level*cbon))+favoredhp</f>
        <v>11</v>
      </c>
      <c r="N30">
        <v>11</v>
      </c>
      <c r="O30">
        <v>1</v>
      </c>
      <c r="Q30" s="6" t="s">
        <v>38</v>
      </c>
      <c r="S30" s="6" t="s">
        <v>331</v>
      </c>
      <c r="U30" s="6" t="s">
        <v>287</v>
      </c>
      <c r="V30" s="6" t="s">
        <v>282</v>
      </c>
      <c r="W30" s="6" t="s">
        <v>44</v>
      </c>
      <c r="X30" s="6" t="s">
        <v>294</v>
      </c>
      <c r="Z30" t="s">
        <v>44</v>
      </c>
      <c r="AA30" t="s">
        <v>23</v>
      </c>
      <c r="AC30" s="6" t="s">
        <v>321</v>
      </c>
      <c r="AD30" s="6" t="s">
        <v>312</v>
      </c>
      <c r="AE30" s="6" t="s">
        <v>93</v>
      </c>
      <c r="AF30" s="6" t="s">
        <v>294</v>
      </c>
      <c r="AG30" s="6" t="s">
        <v>319</v>
      </c>
      <c r="AH30" s="6" t="s">
        <v>324</v>
      </c>
      <c r="AI30" s="6" t="s">
        <v>327</v>
      </c>
      <c r="AJ30" s="6" t="s">
        <v>302</v>
      </c>
      <c r="AK30" s="6" t="s">
        <v>306</v>
      </c>
      <c r="AL30" s="6" t="s">
        <v>315</v>
      </c>
      <c r="AM30" s="6" t="s">
        <v>319</v>
      </c>
      <c r="AN30" s="6" t="s">
        <v>294</v>
      </c>
      <c r="AO30" s="6" t="s">
        <v>292</v>
      </c>
      <c r="AP30" s="6" t="s">
        <v>313</v>
      </c>
      <c r="AQ30" s="6" t="s">
        <v>35</v>
      </c>
      <c r="AS30" s="6" t="s">
        <v>28</v>
      </c>
      <c r="AT30" s="6" t="s">
        <v>281</v>
      </c>
      <c r="AU30" s="6" t="s">
        <v>39</v>
      </c>
      <c r="AW30" s="6" t="s">
        <v>39</v>
      </c>
      <c r="AX30" s="6" t="s">
        <v>306</v>
      </c>
      <c r="AY30" s="6" t="s">
        <v>329</v>
      </c>
      <c r="AZ30" s="6" t="s">
        <v>301</v>
      </c>
      <c r="BA30" s="6" t="s">
        <v>319</v>
      </c>
      <c r="BD30" s="57" t="s">
        <v>162</v>
      </c>
      <c r="BE30" s="43" t="str">
        <f>IF(OR(ISNUMBER(MATCH(class,vals!AU:AU,0)),ISNUMBER(MATCH(class2,vals!AU:AU,0)),ISNUMBER(MATCH(class3,vals!AU:AU,0))),"X","")</f>
        <v/>
      </c>
      <c r="BG30" s="6" t="s">
        <v>450</v>
      </c>
      <c r="BI30">
        <v>2</v>
      </c>
      <c r="BL30">
        <v>2</v>
      </c>
    </row>
    <row r="31" spans="1:65">
      <c r="A31" t="s">
        <v>5</v>
      </c>
      <c r="B31" s="3">
        <v>0.75</v>
      </c>
      <c r="C31" s="3">
        <v>8</v>
      </c>
      <c r="D31" s="3">
        <f t="shared" si="1"/>
        <v>5</v>
      </c>
      <c r="E31" s="3">
        <v>4</v>
      </c>
      <c r="F31" s="160">
        <v>0.5</v>
      </c>
      <c r="G31" s="160">
        <v>0.5</v>
      </c>
      <c r="H31" s="160">
        <v>0.5</v>
      </c>
      <c r="I31" s="164">
        <v>2</v>
      </c>
      <c r="J31" s="4" t="s">
        <v>56</v>
      </c>
      <c r="K31" s="6">
        <f>skillsPerLevel+IF(ISBLANK(class2),0,cl2SkillsPerLevel)+IF(ISBLANK(class3),0,(cl3SkillsPerLevel))</f>
        <v>3</v>
      </c>
      <c r="L31" s="6"/>
      <c r="N31">
        <v>12</v>
      </c>
      <c r="O31">
        <v>2</v>
      </c>
      <c r="Q31" s="6" t="s">
        <v>7</v>
      </c>
      <c r="S31" s="6" t="s">
        <v>334</v>
      </c>
      <c r="U31" s="6" t="s">
        <v>288</v>
      </c>
      <c r="V31" s="6" t="s">
        <v>285</v>
      </c>
      <c r="W31" s="6" t="s">
        <v>198</v>
      </c>
      <c r="X31" s="6" t="s">
        <v>295</v>
      </c>
      <c r="AA31" t="s">
        <v>5</v>
      </c>
      <c r="AC31" s="6" t="s">
        <v>322</v>
      </c>
      <c r="AD31" s="6" t="s">
        <v>314</v>
      </c>
      <c r="AE31" s="6" t="s">
        <v>95</v>
      </c>
      <c r="AF31" s="6" t="s">
        <v>297</v>
      </c>
      <c r="AG31" s="6" t="s">
        <v>321</v>
      </c>
      <c r="AH31" s="6" t="s">
        <v>328</v>
      </c>
      <c r="AI31" s="6" t="s">
        <v>328</v>
      </c>
      <c r="AJ31" s="6" t="s">
        <v>311</v>
      </c>
      <c r="AK31" s="6" t="s">
        <v>309</v>
      </c>
      <c r="AL31" s="6" t="s">
        <v>317</v>
      </c>
      <c r="AM31" s="6" t="s">
        <v>320</v>
      </c>
      <c r="AN31" s="6" t="s">
        <v>296</v>
      </c>
      <c r="AO31" s="6" t="s">
        <v>295</v>
      </c>
      <c r="AP31" s="6" t="s">
        <v>318</v>
      </c>
      <c r="AQ31" s="6" t="s">
        <v>36</v>
      </c>
      <c r="AS31" s="6" t="s">
        <v>29</v>
      </c>
      <c r="AT31" s="6" t="s">
        <v>286</v>
      </c>
      <c r="AU31" s="6" t="s">
        <v>280</v>
      </c>
      <c r="AW31" s="6" t="s">
        <v>279</v>
      </c>
      <c r="AX31" s="6" t="s">
        <v>308</v>
      </c>
      <c r="AY31" s="6" t="s">
        <v>330</v>
      </c>
      <c r="AZ31" s="6" t="s">
        <v>305</v>
      </c>
      <c r="BA31" s="6" t="s">
        <v>330</v>
      </c>
      <c r="BD31" s="57" t="s">
        <v>163</v>
      </c>
      <c r="BE31" s="43" t="str">
        <f>IF(OR(ISNUMBER(MATCH(class,vals!AV:AV,0)),ISNUMBER(MATCH(class2,vals!AV:AV,0)),ISNUMBER(MATCH(class3,vals!AV:AV,0))),"X","")</f>
        <v/>
      </c>
      <c r="BG31" s="6" t="s">
        <v>451</v>
      </c>
      <c r="BK31">
        <v>2</v>
      </c>
      <c r="BM31">
        <v>2</v>
      </c>
    </row>
    <row r="32" spans="1:65">
      <c r="A32" t="s">
        <v>376</v>
      </c>
      <c r="B32" s="3">
        <v>1</v>
      </c>
      <c r="C32" s="3">
        <v>10</v>
      </c>
      <c r="D32" s="3">
        <f t="shared" si="1"/>
        <v>6</v>
      </c>
      <c r="E32" s="3">
        <v>4</v>
      </c>
      <c r="F32" s="160">
        <v>0.5</v>
      </c>
      <c r="G32" s="160">
        <v>0.5</v>
      </c>
      <c r="H32" s="166">
        <v>0.33333333333333331</v>
      </c>
      <c r="I32" s="164">
        <v>2</v>
      </c>
      <c r="J32" s="4" t="s">
        <v>361</v>
      </c>
      <c r="K32" t="str">
        <f>IF(prog=slowprog,"/"&amp;INDEX(vals!J45:O64,MATCH(totallevel+1,vals!J45:J64,0),2),IF(prog=mediumprog,"/"&amp;INDEX(vals!J45:O64,MATCH(totallevel+1,vals!J45:J64,0),3),IF(prog=fastprog,"/"&amp;INDEX(vals!J45:O64,MATCH(totallevel+1,vals!J45:J64,0),4),IF(prog=simpleprog,"/"&amp;INDEX(vals!J45:O64,MATCH(totallevel+1,vals!J45:J64,0),5),""))))</f>
        <v>/</v>
      </c>
      <c r="N32">
        <v>13</v>
      </c>
      <c r="O32">
        <v>3</v>
      </c>
      <c r="Q32" s="6" t="s">
        <v>8</v>
      </c>
      <c r="S32" s="6" t="s">
        <v>339</v>
      </c>
      <c r="U32" s="6" t="s">
        <v>293</v>
      </c>
      <c r="V32" s="6" t="s">
        <v>292</v>
      </c>
      <c r="W32" s="6" t="s">
        <v>16</v>
      </c>
      <c r="X32" s="6" t="s">
        <v>297</v>
      </c>
      <c r="AA32" t="s">
        <v>376</v>
      </c>
      <c r="AC32" s="6" t="s">
        <v>327</v>
      </c>
      <c r="AD32" s="6" t="s">
        <v>316</v>
      </c>
      <c r="AE32" s="6" t="s">
        <v>97</v>
      </c>
      <c r="AF32" s="6" t="s">
        <v>299</v>
      </c>
      <c r="AG32" s="6" t="s">
        <v>323</v>
      </c>
      <c r="AH32" s="6" t="s">
        <v>330</v>
      </c>
      <c r="AI32" s="6" t="s">
        <v>330</v>
      </c>
      <c r="AJ32" s="6" t="s">
        <v>314</v>
      </c>
      <c r="AK32" s="6" t="s">
        <v>311</v>
      </c>
      <c r="AL32" s="6" t="s">
        <v>319</v>
      </c>
      <c r="AM32" s="6" t="s">
        <v>321</v>
      </c>
      <c r="AN32" s="6" t="s">
        <v>297</v>
      </c>
      <c r="AO32" s="6" t="s">
        <v>296</v>
      </c>
      <c r="AP32" s="6" t="s">
        <v>319</v>
      </c>
      <c r="AQ32" s="6" t="s">
        <v>37</v>
      </c>
      <c r="AS32" s="6" t="s">
        <v>17</v>
      </c>
      <c r="AT32" s="6" t="s">
        <v>301</v>
      </c>
      <c r="AU32" s="6" t="s">
        <v>282</v>
      </c>
      <c r="AW32" s="6" t="s">
        <v>282</v>
      </c>
      <c r="AX32" s="6" t="s">
        <v>313</v>
      </c>
      <c r="AY32" s="6" t="s">
        <v>333</v>
      </c>
      <c r="AZ32" s="6" t="s">
        <v>307</v>
      </c>
      <c r="BA32" s="6" t="s">
        <v>331</v>
      </c>
      <c r="BD32" s="57" t="s">
        <v>164</v>
      </c>
      <c r="BE32" s="43" t="str">
        <f>IF(OR(ISNUMBER(MATCH(class,vals!AW:AW,0)),ISNUMBER(MATCH(class2,vals!AW:AW,0)),ISNUMBER(MATCH(class3,vals!AW:AW,0))),"X","")</f>
        <v/>
      </c>
      <c r="BG32" s="6" t="s">
        <v>387</v>
      </c>
      <c r="BI32">
        <v>2</v>
      </c>
      <c r="BK32">
        <v>2</v>
      </c>
      <c r="BM32">
        <v>-2</v>
      </c>
    </row>
    <row r="33" spans="1:65">
      <c r="A33" t="s">
        <v>19</v>
      </c>
      <c r="B33" s="3">
        <v>0.75</v>
      </c>
      <c r="C33" s="3">
        <v>8</v>
      </c>
      <c r="D33" s="3">
        <f t="shared" si="1"/>
        <v>5</v>
      </c>
      <c r="E33" s="3">
        <v>8</v>
      </c>
      <c r="F33" s="160">
        <v>0.33333333333333331</v>
      </c>
      <c r="G33" s="160">
        <v>0.5</v>
      </c>
      <c r="H33" s="166">
        <v>0.33333333333333331</v>
      </c>
      <c r="I33" s="164">
        <v>2</v>
      </c>
      <c r="J33" s="4" t="s">
        <v>362</v>
      </c>
      <c r="K33">
        <f>ROUNDDOWN(BAB*level,0)+IF(ISBLANK(class2),0,(ROUNDDOWN(cl2BAB*cl2level,0)))+IF(ISBLANK(class3),0,(ROUNDDOWN(cl3BAB*cl3level,0)))</f>
        <v>1</v>
      </c>
      <c r="N33">
        <v>14</v>
      </c>
      <c r="O33">
        <v>5</v>
      </c>
      <c r="Q33" s="6" t="s">
        <v>20</v>
      </c>
      <c r="S33" s="6" t="s">
        <v>342</v>
      </c>
      <c r="U33" s="6" t="s">
        <v>294</v>
      </c>
      <c r="V33" s="6" t="s">
        <v>301</v>
      </c>
      <c r="W33" s="6" t="s">
        <v>378</v>
      </c>
      <c r="X33" s="6" t="s">
        <v>298</v>
      </c>
      <c r="AC33" s="6" t="s">
        <v>341</v>
      </c>
      <c r="AD33" s="6" t="s">
        <v>317</v>
      </c>
      <c r="AE33" s="6" t="s">
        <v>34</v>
      </c>
      <c r="AF33" s="6" t="s">
        <v>301</v>
      </c>
      <c r="AG33" s="6" t="s">
        <v>324</v>
      </c>
      <c r="AH33" s="6" t="s">
        <v>331</v>
      </c>
      <c r="AI33" s="6" t="s">
        <v>331</v>
      </c>
      <c r="AJ33" s="6" t="s">
        <v>318</v>
      </c>
      <c r="AK33" s="6" t="s">
        <v>319</v>
      </c>
      <c r="AL33" s="6" t="s">
        <v>321</v>
      </c>
      <c r="AM33" s="6" t="s">
        <v>324</v>
      </c>
      <c r="AN33" s="6" t="s">
        <v>298</v>
      </c>
      <c r="AO33" s="6" t="s">
        <v>297</v>
      </c>
      <c r="AP33" s="6" t="s">
        <v>320</v>
      </c>
      <c r="AQ33" s="6" t="s">
        <v>38</v>
      </c>
      <c r="AS33" s="6" t="s">
        <v>9</v>
      </c>
      <c r="AT33" s="6" t="s">
        <v>305</v>
      </c>
      <c r="AU33" s="6" t="s">
        <v>283</v>
      </c>
      <c r="AW33" s="6" t="s">
        <v>288</v>
      </c>
      <c r="AX33" s="6" t="s">
        <v>317</v>
      </c>
      <c r="AY33" s="6" t="s">
        <v>336</v>
      </c>
      <c r="AZ33" s="6" t="s">
        <v>308</v>
      </c>
      <c r="BA33" s="6" t="s">
        <v>332</v>
      </c>
      <c r="BD33" s="57" t="s">
        <v>197</v>
      </c>
      <c r="BE33" s="43" t="str">
        <f>IF(OR(ISNUMBER(MATCH(class,vals!AX:AX,0)),ISNUMBER(MATCH(class2,vals!AX:AX,0)),ISNUMBER(MATCH(class3,vals!AX:AX,0))),"X","")</f>
        <v/>
      </c>
      <c r="BG33" s="6" t="s">
        <v>388</v>
      </c>
      <c r="BI33">
        <v>2</v>
      </c>
      <c r="BL33">
        <v>-2</v>
      </c>
      <c r="BM33">
        <v>2</v>
      </c>
    </row>
    <row r="34" spans="1:65">
      <c r="A34" t="s">
        <v>37</v>
      </c>
      <c r="B34" s="3">
        <v>0.75</v>
      </c>
      <c r="C34" s="3">
        <v>8</v>
      </c>
      <c r="D34" s="3">
        <f t="shared" si="1"/>
        <v>5</v>
      </c>
      <c r="E34" s="3">
        <v>4</v>
      </c>
      <c r="F34" s="160">
        <v>0.5</v>
      </c>
      <c r="G34" s="160">
        <v>0.33333333333333331</v>
      </c>
      <c r="H34" s="160">
        <v>0.5</v>
      </c>
      <c r="I34" s="164">
        <v>2</v>
      </c>
      <c r="N34">
        <v>15</v>
      </c>
      <c r="O34">
        <v>7</v>
      </c>
      <c r="Q34" s="6" t="s">
        <v>26</v>
      </c>
      <c r="S34" s="6" t="s">
        <v>343</v>
      </c>
      <c r="U34" s="6" t="s">
        <v>295</v>
      </c>
      <c r="V34" s="6" t="s">
        <v>305</v>
      </c>
      <c r="W34" s="6" t="s">
        <v>28</v>
      </c>
      <c r="X34" s="6" t="s">
        <v>299</v>
      </c>
      <c r="AC34" s="6" t="s">
        <v>351</v>
      </c>
      <c r="AD34" s="6" t="s">
        <v>319</v>
      </c>
      <c r="AE34" s="6" t="s">
        <v>35</v>
      </c>
      <c r="AF34" s="6" t="s">
        <v>302</v>
      </c>
      <c r="AG34" s="6" t="s">
        <v>328</v>
      </c>
      <c r="AH34" s="6" t="s">
        <v>332</v>
      </c>
      <c r="AI34" s="6" t="s">
        <v>332</v>
      </c>
      <c r="AJ34" s="6" t="s">
        <v>319</v>
      </c>
      <c r="AK34" s="6" t="s">
        <v>320</v>
      </c>
      <c r="AL34" s="6" t="s">
        <v>324</v>
      </c>
      <c r="AM34" s="6" t="s">
        <v>328</v>
      </c>
      <c r="AN34" s="6" t="s">
        <v>299</v>
      </c>
      <c r="AO34" s="6" t="s">
        <v>298</v>
      </c>
      <c r="AP34" s="6" t="s">
        <v>324</v>
      </c>
      <c r="AQ34" s="6" t="s">
        <v>281</v>
      </c>
      <c r="AS34" s="6" t="s">
        <v>94</v>
      </c>
      <c r="AT34" s="6" t="s">
        <v>310</v>
      </c>
      <c r="AU34" s="6" t="s">
        <v>284</v>
      </c>
      <c r="AW34" s="6" t="s">
        <v>289</v>
      </c>
      <c r="AX34" s="6" t="s">
        <v>320</v>
      </c>
      <c r="AY34" s="6" t="s">
        <v>341</v>
      </c>
      <c r="AZ34" s="6" t="s">
        <v>312</v>
      </c>
      <c r="BA34" s="6" t="s">
        <v>333</v>
      </c>
      <c r="BD34" s="57" t="s">
        <v>165</v>
      </c>
      <c r="BE34" s="43" t="str">
        <f>IF(OR(ISNUMBER(MATCH(class,vals!AY:AY,0)),ISNUMBER(MATCH(class2,vals!AY:AY,0)),ISNUMBER(MATCH(class3,vals!AY:AY,0))),"X","")</f>
        <v>X</v>
      </c>
      <c r="BG34" s="6" t="s">
        <v>389</v>
      </c>
      <c r="BJ34">
        <v>-2</v>
      </c>
      <c r="BL34">
        <v>2</v>
      </c>
      <c r="BM34">
        <v>2</v>
      </c>
    </row>
    <row r="35" spans="1:65">
      <c r="A35" t="s">
        <v>15</v>
      </c>
      <c r="B35" s="3">
        <v>0.75</v>
      </c>
      <c r="C35" s="3">
        <v>8</v>
      </c>
      <c r="D35" s="3">
        <f t="shared" si="1"/>
        <v>5</v>
      </c>
      <c r="E35" s="3">
        <v>4</v>
      </c>
      <c r="F35" s="160">
        <v>0.33333333333333331</v>
      </c>
      <c r="G35" s="160">
        <v>0.33333333333333331</v>
      </c>
      <c r="H35" s="160">
        <v>0.5</v>
      </c>
      <c r="I35" s="164">
        <v>2</v>
      </c>
      <c r="J35" s="4" t="s">
        <v>364</v>
      </c>
      <c r="K35" s="44" t="str">
        <f>IF('Basic Sheet'!C24="Str","+"&amp;sattack+'Basic Sheet'!D24&amp;IF(sattack2="-","","/+"&amp;sattack2+'Basic Sheet'!D24)&amp;IF(sattack3="-","","/+"&amp;sattack3+'Basic Sheet'!D24)&amp;IF(sattack4="-","","/+"&amp;sattack4+'Basic Sheet'!D24), IF('Basic Sheet'!C24="Dex","+"&amp;dattack+'Basic Sheet'!D24&amp;IF(dattack2="-","","/+"&amp;dattack2+'Basic Sheet'!D24)&amp;IF(dattack3="-","","/+"&amp;dattack3+'Basic Sheet'!D24)&amp;IF(dattack4="-","","/+"&amp;dattack4+'Basic Sheet'!D24), "-" ))</f>
        <v>+3</v>
      </c>
      <c r="L35" s="133"/>
      <c r="M35" s="133"/>
      <c r="N35">
        <v>16</v>
      </c>
      <c r="O35">
        <v>10</v>
      </c>
      <c r="Q35" s="6" t="s">
        <v>27</v>
      </c>
      <c r="S35" s="6" t="s">
        <v>348</v>
      </c>
      <c r="U35" s="6" t="s">
        <v>296</v>
      </c>
      <c r="V35" s="6" t="s">
        <v>307</v>
      </c>
      <c r="W35" s="6" t="s">
        <v>29</v>
      </c>
      <c r="X35" s="6" t="s">
        <v>302</v>
      </c>
      <c r="AD35" s="6" t="s">
        <v>321</v>
      </c>
      <c r="AE35" s="6" t="s">
        <v>36</v>
      </c>
      <c r="AF35" s="6" t="s">
        <v>309</v>
      </c>
      <c r="AG35" s="6" t="s">
        <v>330</v>
      </c>
      <c r="AH35" s="6" t="s">
        <v>333</v>
      </c>
      <c r="AI35" s="6" t="s">
        <v>333</v>
      </c>
      <c r="AJ35" s="6" t="s">
        <v>321</v>
      </c>
      <c r="AK35" s="6" t="s">
        <v>321</v>
      </c>
      <c r="AL35" s="6" t="s">
        <v>327</v>
      </c>
      <c r="AM35" s="6" t="s">
        <v>330</v>
      </c>
      <c r="AN35" s="6" t="s">
        <v>302</v>
      </c>
      <c r="AO35" s="6" t="s">
        <v>299</v>
      </c>
      <c r="AP35" s="6" t="s">
        <v>330</v>
      </c>
      <c r="AQ35" s="6" t="s">
        <v>282</v>
      </c>
      <c r="AS35" s="6" t="s">
        <v>95</v>
      </c>
      <c r="AT35" s="6" t="s">
        <v>312</v>
      </c>
      <c r="AU35" s="6" t="s">
        <v>285</v>
      </c>
      <c r="AW35" s="6" t="s">
        <v>290</v>
      </c>
      <c r="AX35" s="6" t="s">
        <v>323</v>
      </c>
      <c r="AY35" s="6" t="s">
        <v>343</v>
      </c>
      <c r="AZ35" s="6" t="s">
        <v>313</v>
      </c>
      <c r="BA35" s="6" t="s">
        <v>335</v>
      </c>
      <c r="BD35" s="57" t="s">
        <v>166</v>
      </c>
      <c r="BE35" s="43" t="str">
        <f>IF(OR(ISNUMBER(MATCH(class,vals!AZ:AZ,0)),ISNUMBER(MATCH(class2,vals!AZ:AZ,0)),ISNUMBER(MATCH(class3,vals!AZ:AZ,0))),"X","")</f>
        <v>X</v>
      </c>
      <c r="BG35" s="6" t="s">
        <v>390</v>
      </c>
      <c r="BI35">
        <v>2</v>
      </c>
      <c r="BJ35">
        <v>-2</v>
      </c>
      <c r="BM35">
        <v>2</v>
      </c>
    </row>
    <row r="36" spans="1:65">
      <c r="A36" t="s">
        <v>6</v>
      </c>
      <c r="B36" s="3">
        <v>1</v>
      </c>
      <c r="C36" s="3">
        <v>10</v>
      </c>
      <c r="D36" s="3">
        <f t="shared" si="1"/>
        <v>6</v>
      </c>
      <c r="E36" s="3">
        <v>2</v>
      </c>
      <c r="F36" s="160">
        <v>0.5</v>
      </c>
      <c r="G36" s="160">
        <v>0.33333333333333331</v>
      </c>
      <c r="H36" s="160">
        <v>0.5</v>
      </c>
      <c r="I36" s="164">
        <v>2</v>
      </c>
      <c r="J36" s="4" t="s">
        <v>363</v>
      </c>
      <c r="K36" s="44" t="str">
        <f>IF('Basic Sheet'!C25="Str","+"&amp;sattack+'Basic Sheet'!D25&amp;IF(sattack2="-","","/+"&amp;sattack2+'Basic Sheet'!D25)&amp;IF(sattack3="-","","/+"&amp;sattack3+'Basic Sheet'!D25)&amp;IF(sattack4="-","","/+"&amp;sattack4+'Basic Sheet'!D25), IF('Basic Sheet'!C25="Dex","+"&amp;dattack+'Basic Sheet'!D25&amp;IF(dattack2="-","","/+"&amp;dattack2+'Basic Sheet'!D25)&amp;IF(dattack3="-","","/+"&amp;dattack3+'Basic Sheet'!D25)&amp;IF(dattack4="-","","/+"&amp;dattack4+'Basic Sheet'!D25), "-" ))</f>
        <v>-</v>
      </c>
      <c r="L36" s="133"/>
      <c r="M36" s="133"/>
      <c r="N36">
        <v>17</v>
      </c>
      <c r="O36">
        <v>13</v>
      </c>
      <c r="Q36" s="6" t="s">
        <v>44</v>
      </c>
      <c r="U36" s="6" t="s">
        <v>297</v>
      </c>
      <c r="V36" s="6" t="s">
        <v>308</v>
      </c>
      <c r="W36" s="6" t="s">
        <v>17</v>
      </c>
      <c r="X36" s="6" t="s">
        <v>303</v>
      </c>
      <c r="AD36" s="6" t="s">
        <v>322</v>
      </c>
      <c r="AE36" s="6" t="s">
        <v>38</v>
      </c>
      <c r="AF36" s="6" t="s">
        <v>311</v>
      </c>
      <c r="AG36" s="6" t="s">
        <v>331</v>
      </c>
      <c r="AH36" s="6" t="s">
        <v>343</v>
      </c>
      <c r="AI36" s="6" t="s">
        <v>344</v>
      </c>
      <c r="AJ36" s="6" t="s">
        <v>324</v>
      </c>
      <c r="AK36" s="6" t="s">
        <v>324</v>
      </c>
      <c r="AL36" s="6" t="s">
        <v>328</v>
      </c>
      <c r="AM36" s="6" t="s">
        <v>331</v>
      </c>
      <c r="AN36" s="6" t="s">
        <v>304</v>
      </c>
      <c r="AO36" s="6" t="s">
        <v>302</v>
      </c>
      <c r="AP36" s="6" t="s">
        <v>331</v>
      </c>
      <c r="AQ36" s="6" t="s">
        <v>285</v>
      </c>
      <c r="AS36" s="6" t="s">
        <v>96</v>
      </c>
      <c r="AT36" s="6" t="s">
        <v>316</v>
      </c>
      <c r="AU36" s="6" t="s">
        <v>286</v>
      </c>
      <c r="AW36" s="6" t="s">
        <v>291</v>
      </c>
      <c r="AX36" s="6" t="s">
        <v>331</v>
      </c>
      <c r="AY36" s="6" t="s">
        <v>344</v>
      </c>
      <c r="AZ36" s="6" t="s">
        <v>315</v>
      </c>
      <c r="BA36" s="6" t="s">
        <v>338</v>
      </c>
      <c r="BD36" s="63" t="s">
        <v>167</v>
      </c>
      <c r="BE36" s="43" t="str">
        <f>IF(OR(ISNUMBER(MATCH(class,vals!BA:BA,0)),ISNUMBER(MATCH(class2,vals!BA:BA,0)),ISNUMBER(MATCH(class3,vals!BA:BA,0))),"X","")</f>
        <v/>
      </c>
      <c r="BG36" s="6" t="s">
        <v>391</v>
      </c>
      <c r="BI36">
        <v>2</v>
      </c>
      <c r="BK36">
        <v>-2</v>
      </c>
      <c r="BM36">
        <v>2</v>
      </c>
    </row>
    <row r="37" spans="1:65">
      <c r="A37" t="s">
        <v>38</v>
      </c>
      <c r="B37" s="3">
        <v>0.5</v>
      </c>
      <c r="C37" s="3">
        <v>6</v>
      </c>
      <c r="D37" s="3">
        <f t="shared" si="1"/>
        <v>4</v>
      </c>
      <c r="E37" s="3">
        <v>2</v>
      </c>
      <c r="F37" s="160">
        <v>0.33333333333333331</v>
      </c>
      <c r="G37" s="160">
        <v>0.33333333333333331</v>
      </c>
      <c r="H37" s="160">
        <v>0.5</v>
      </c>
      <c r="I37" s="164">
        <v>2</v>
      </c>
      <c r="J37" s="4" t="s">
        <v>365</v>
      </c>
      <c r="K37" s="44" t="str">
        <f>IF('Basic Sheet'!C26="Str","+"&amp;sattack+'Basic Sheet'!D26&amp;IF(sattack2="-","","/+"&amp;sattack2+'Basic Sheet'!D26)&amp;IF(sattack3="-","","/+"&amp;sattack3+'Basic Sheet'!D26)&amp;IF(sattack4="-","","/+"&amp;sattack4+'Basic Sheet'!D26), IF('Basic Sheet'!C26="Dex","+"&amp;dattack+'Basic Sheet'!D26&amp;IF(dattack2="-","","/+"&amp;dattack2+'Basic Sheet'!D26)&amp;IF(dattack3="-","","/+"&amp;dattack3+'Basic Sheet'!D26)&amp;IF(dattack4="-","","/+"&amp;dattack4+'Basic Sheet'!D26), "-" ))</f>
        <v>-</v>
      </c>
      <c r="L37" s="133"/>
      <c r="M37" s="133"/>
      <c r="N37">
        <v>18</v>
      </c>
      <c r="O37">
        <v>17</v>
      </c>
      <c r="Q37" s="6" t="s">
        <v>198</v>
      </c>
      <c r="U37" s="6" t="s">
        <v>300</v>
      </c>
      <c r="V37" s="6" t="s">
        <v>312</v>
      </c>
      <c r="W37" s="6" t="s">
        <v>9</v>
      </c>
      <c r="X37" s="6" t="s">
        <v>304</v>
      </c>
      <c r="AD37" s="6" t="s">
        <v>325</v>
      </c>
      <c r="AE37" s="6" t="s">
        <v>39</v>
      </c>
      <c r="AF37" s="6" t="s">
        <v>316</v>
      </c>
      <c r="AG37" s="6" t="s">
        <v>332</v>
      </c>
      <c r="AH37" s="6" t="s">
        <v>351</v>
      </c>
      <c r="AI37" s="6" t="s">
        <v>351</v>
      </c>
      <c r="AJ37" s="6" t="s">
        <v>328</v>
      </c>
      <c r="AK37" s="6" t="s">
        <v>328</v>
      </c>
      <c r="AL37" s="6" t="s">
        <v>330</v>
      </c>
      <c r="AM37" s="6" t="s">
        <v>332</v>
      </c>
      <c r="AN37" s="6" t="s">
        <v>309</v>
      </c>
      <c r="AO37" s="6" t="s">
        <v>304</v>
      </c>
      <c r="AP37" s="6" t="s">
        <v>332</v>
      </c>
      <c r="AQ37" s="6" t="s">
        <v>286</v>
      </c>
      <c r="AS37" s="6" t="s">
        <v>34</v>
      </c>
      <c r="AT37" s="6" t="s">
        <v>320</v>
      </c>
      <c r="AU37" s="6" t="s">
        <v>287</v>
      </c>
      <c r="AW37" s="6" t="s">
        <v>292</v>
      </c>
      <c r="AX37" s="6" t="s">
        <v>332</v>
      </c>
      <c r="AY37" s="6" t="s">
        <v>349</v>
      </c>
      <c r="AZ37" s="6" t="s">
        <v>323</v>
      </c>
      <c r="BA37" s="6" t="s">
        <v>346</v>
      </c>
      <c r="BG37" s="6" t="s">
        <v>392</v>
      </c>
      <c r="BJ37">
        <v>2</v>
      </c>
      <c r="BL37">
        <v>2</v>
      </c>
      <c r="BM37">
        <v>-4</v>
      </c>
    </row>
    <row r="38" spans="1:65">
      <c r="A38" t="s">
        <v>7</v>
      </c>
      <c r="B38" s="3">
        <v>1</v>
      </c>
      <c r="C38" s="3">
        <v>10</v>
      </c>
      <c r="D38" s="3">
        <f t="shared" si="1"/>
        <v>6</v>
      </c>
      <c r="E38" s="3">
        <v>6</v>
      </c>
      <c r="F38" s="160">
        <v>0.5</v>
      </c>
      <c r="G38" s="160">
        <v>0.5</v>
      </c>
      <c r="H38" s="166">
        <v>0.33333333333333331</v>
      </c>
      <c r="I38" s="164">
        <v>2</v>
      </c>
      <c r="J38" s="4" t="s">
        <v>366</v>
      </c>
      <c r="K38" s="44" t="str">
        <f>IF('Basic Sheet'!C27="Str","+"&amp;sattack+'Basic Sheet'!D27&amp;IF(sattack2="-","","/+"&amp;sattack2+'Basic Sheet'!D27)&amp;IF(sattack3="-","","/+"&amp;sattack3+'Basic Sheet'!D27)&amp;IF(sattack4="-","","/+"&amp;sattack4+'Basic Sheet'!D27), IF('Basic Sheet'!C27="Dex","+"&amp;dattack+'Basic Sheet'!D27&amp;IF(dattack2="-","","/+"&amp;dattack2+'Basic Sheet'!D27)&amp;IF(dattack3="-","","/+"&amp;dattack3+'Basic Sheet'!D27)&amp;IF(dattack4="-","","/+"&amp;dattack4+'Basic Sheet'!D27), "-" ))</f>
        <v>-</v>
      </c>
      <c r="L38" s="133"/>
      <c r="M38" s="133"/>
      <c r="Q38" s="6" t="s">
        <v>39</v>
      </c>
      <c r="U38" s="6" t="s">
        <v>306</v>
      </c>
      <c r="V38" s="6" t="s">
        <v>313</v>
      </c>
      <c r="W38" s="6" t="s">
        <v>99</v>
      </c>
      <c r="X38" s="6" t="s">
        <v>306</v>
      </c>
      <c r="AD38" s="6" t="s">
        <v>327</v>
      </c>
      <c r="AE38" s="6" t="s">
        <v>279</v>
      </c>
      <c r="AF38" s="6" t="s">
        <v>319</v>
      </c>
      <c r="AG38" s="6" t="s">
        <v>333</v>
      </c>
      <c r="AH38" s="6" t="s">
        <v>353</v>
      </c>
      <c r="AI38" s="6" t="s">
        <v>353</v>
      </c>
      <c r="AJ38" s="6" t="s">
        <v>330</v>
      </c>
      <c r="AK38" s="6" t="s">
        <v>330</v>
      </c>
      <c r="AL38" s="6" t="s">
        <v>331</v>
      </c>
      <c r="AM38" s="6" t="s">
        <v>333</v>
      </c>
      <c r="AN38" s="6" t="s">
        <v>311</v>
      </c>
      <c r="AO38" s="6" t="s">
        <v>309</v>
      </c>
      <c r="AP38" s="6" t="s">
        <v>333</v>
      </c>
      <c r="AQ38" s="6" t="s">
        <v>287</v>
      </c>
      <c r="AS38" s="6" t="s">
        <v>35</v>
      </c>
      <c r="AT38" s="6" t="s">
        <v>321</v>
      </c>
      <c r="AU38" s="6" t="s">
        <v>288</v>
      </c>
      <c r="AW38" s="6" t="s">
        <v>294</v>
      </c>
      <c r="AX38" s="6" t="s">
        <v>339</v>
      </c>
      <c r="AY38" s="6" t="s">
        <v>350</v>
      </c>
      <c r="AZ38" s="6" t="s">
        <v>327</v>
      </c>
      <c r="BA38" s="6" t="s">
        <v>354</v>
      </c>
      <c r="BG38" s="6" t="s">
        <v>393</v>
      </c>
      <c r="BI38">
        <v>2</v>
      </c>
      <c r="BL38">
        <v>-2</v>
      </c>
      <c r="BM38">
        <v>2</v>
      </c>
    </row>
    <row r="39" spans="1:65">
      <c r="A39" t="s">
        <v>8</v>
      </c>
      <c r="B39" s="3">
        <v>0.75</v>
      </c>
      <c r="C39" s="3">
        <v>8</v>
      </c>
      <c r="D39" s="3">
        <f t="shared" si="1"/>
        <v>5</v>
      </c>
      <c r="E39" s="3">
        <v>8</v>
      </c>
      <c r="F39" s="160">
        <v>0.33333333333333331</v>
      </c>
      <c r="G39" s="160">
        <v>0.5</v>
      </c>
      <c r="H39" s="166">
        <v>0.33333333333333331</v>
      </c>
      <c r="I39" s="164">
        <v>2</v>
      </c>
      <c r="J39" s="4" t="s">
        <v>367</v>
      </c>
      <c r="K39" s="44" t="str">
        <f>IF('Basic Sheet'!C28="Str","+"&amp;sattack+'Basic Sheet'!D28&amp;IF(sattack2="-","","/+"&amp;sattack2+'Basic Sheet'!D28)&amp;IF(sattack3="-","","/+"&amp;sattack3+'Basic Sheet'!D28)&amp;IF(sattack4="-","","/+"&amp;sattack4+'Basic Sheet'!D28), IF('Basic Sheet'!C28="Dex","+"&amp;dattack+'Basic Sheet'!D28&amp;IF(dattack2="-","","/+"&amp;dattack2+'Basic Sheet'!D28)&amp;IF(dattack3="-","","/+"&amp;dattack3+'Basic Sheet'!D28)&amp;IF(dattack4="-","","/+"&amp;dattack4+'Basic Sheet'!D28), "-" ))</f>
        <v>-</v>
      </c>
      <c r="L39" s="133"/>
      <c r="M39" s="133"/>
      <c r="Q39" s="6" t="s">
        <v>16</v>
      </c>
      <c r="U39" s="6" t="s">
        <v>308</v>
      </c>
      <c r="V39" s="6" t="s">
        <v>315</v>
      </c>
      <c r="W39" s="6" t="s">
        <v>100</v>
      </c>
      <c r="X39" s="6" t="s">
        <v>308</v>
      </c>
      <c r="AD39" s="6" t="s">
        <v>329</v>
      </c>
      <c r="AE39" s="6" t="s">
        <v>280</v>
      </c>
      <c r="AF39" s="6" t="s">
        <v>321</v>
      </c>
      <c r="AG39" s="6" t="s">
        <v>344</v>
      </c>
      <c r="AI39" t="s">
        <v>44</v>
      </c>
      <c r="AJ39" s="6" t="s">
        <v>331</v>
      </c>
      <c r="AK39" s="6" t="s">
        <v>331</v>
      </c>
      <c r="AL39" s="6" t="s">
        <v>332</v>
      </c>
      <c r="AM39" s="6" t="s">
        <v>335</v>
      </c>
      <c r="AN39" s="6" t="s">
        <v>312</v>
      </c>
      <c r="AO39" s="6" t="s">
        <v>311</v>
      </c>
      <c r="AP39" s="6" t="s">
        <v>349</v>
      </c>
      <c r="AQ39" s="6" t="s">
        <v>290</v>
      </c>
      <c r="AS39" s="6" t="s">
        <v>36</v>
      </c>
      <c r="AT39" s="6" t="s">
        <v>322</v>
      </c>
      <c r="AU39" s="6" t="s">
        <v>290</v>
      </c>
      <c r="AW39" s="6" t="s">
        <v>296</v>
      </c>
      <c r="AX39" s="6" t="s">
        <v>342</v>
      </c>
      <c r="AY39" s="6" t="s">
        <v>354</v>
      </c>
      <c r="AZ39" s="6" t="s">
        <v>331</v>
      </c>
      <c r="BA39" s="6" t="s">
        <v>358</v>
      </c>
      <c r="BG39" s="6" t="s">
        <v>394</v>
      </c>
      <c r="BI39">
        <v>2</v>
      </c>
      <c r="BJ39">
        <v>-2</v>
      </c>
      <c r="BM39">
        <v>2</v>
      </c>
    </row>
    <row r="40" spans="1:65">
      <c r="A40" t="s">
        <v>377</v>
      </c>
      <c r="B40" s="3">
        <v>0.75</v>
      </c>
      <c r="C40" s="3">
        <v>8</v>
      </c>
      <c r="D40" s="3">
        <f t="shared" si="1"/>
        <v>5</v>
      </c>
      <c r="E40" s="3">
        <v>8</v>
      </c>
      <c r="F40" s="160">
        <v>0.33333333333333331</v>
      </c>
      <c r="G40" s="160">
        <v>0.5</v>
      </c>
      <c r="H40" s="166">
        <v>0.33333333333333331</v>
      </c>
      <c r="I40" s="164">
        <v>2</v>
      </c>
      <c r="O40" s="4" t="s">
        <v>201</v>
      </c>
      <c r="Q40" s="6" t="s">
        <v>28</v>
      </c>
      <c r="U40" s="6" t="s">
        <v>309</v>
      </c>
      <c r="V40" s="6" t="s">
        <v>318</v>
      </c>
      <c r="W40" s="6" t="s">
        <v>101</v>
      </c>
      <c r="X40" s="6" t="s">
        <v>309</v>
      </c>
      <c r="AD40" s="6" t="s">
        <v>332</v>
      </c>
      <c r="AE40" s="6" t="s">
        <v>285</v>
      </c>
      <c r="AF40" s="6" t="s">
        <v>324</v>
      </c>
      <c r="AG40" s="6" t="s">
        <v>351</v>
      </c>
      <c r="AJ40" s="6" t="s">
        <v>332</v>
      </c>
      <c r="AK40" s="6" t="s">
        <v>332</v>
      </c>
      <c r="AL40" s="6" t="s">
        <v>333</v>
      </c>
      <c r="AM40" s="6" t="s">
        <v>339</v>
      </c>
      <c r="AN40" s="6" t="s">
        <v>313</v>
      </c>
      <c r="AO40" s="6" t="s">
        <v>312</v>
      </c>
      <c r="AP40" s="6" t="s">
        <v>351</v>
      </c>
      <c r="AQ40" s="6" t="s">
        <v>291</v>
      </c>
      <c r="AS40" s="6" t="s">
        <v>37</v>
      </c>
      <c r="AT40" s="6" t="s">
        <v>327</v>
      </c>
      <c r="AU40" s="6" t="s">
        <v>291</v>
      </c>
      <c r="AW40" s="6" t="s">
        <v>297</v>
      </c>
      <c r="AX40" s="6" t="s">
        <v>343</v>
      </c>
      <c r="AY40" s="6" t="s">
        <v>358</v>
      </c>
      <c r="AZ40" s="6" t="s">
        <v>332</v>
      </c>
      <c r="BG40" s="6" t="s">
        <v>395</v>
      </c>
      <c r="BJ40">
        <v>2</v>
      </c>
      <c r="BK40">
        <v>-2</v>
      </c>
      <c r="BM40">
        <v>2</v>
      </c>
    </row>
    <row r="41" spans="1:65">
      <c r="A41" t="s">
        <v>20</v>
      </c>
      <c r="B41" s="3">
        <v>1</v>
      </c>
      <c r="C41" s="3">
        <v>10</v>
      </c>
      <c r="D41" s="3">
        <f t="shared" si="1"/>
        <v>6</v>
      </c>
      <c r="E41" s="3">
        <v>4</v>
      </c>
      <c r="F41" s="160">
        <v>0.5</v>
      </c>
      <c r="G41" s="160">
        <v>0.33333333333333331</v>
      </c>
      <c r="H41" s="166">
        <v>0.33333333333333331</v>
      </c>
      <c r="I41" s="164">
        <v>2</v>
      </c>
      <c r="J41" s="4" t="s">
        <v>479</v>
      </c>
      <c r="K41" s="6">
        <f>IF(OR(Race=BG19, Race=BG20, Race=BG21, Race=BG22, Race=BG23, Race=BG24),1,0)*level</f>
        <v>1</v>
      </c>
      <c r="O41" s="4" t="s">
        <v>35</v>
      </c>
      <c r="Q41" s="6" t="s">
        <v>375</v>
      </c>
      <c r="U41" s="6" t="s">
        <v>320</v>
      </c>
      <c r="V41" s="6" t="s">
        <v>323</v>
      </c>
      <c r="W41" s="6" t="s">
        <v>102</v>
      </c>
      <c r="X41" s="6" t="s">
        <v>311</v>
      </c>
      <c r="AD41" s="6" t="s">
        <v>336</v>
      </c>
      <c r="AE41" s="6" t="s">
        <v>286</v>
      </c>
      <c r="AF41" s="6" t="s">
        <v>326</v>
      </c>
      <c r="AG41" s="6" t="s">
        <v>353</v>
      </c>
      <c r="AJ41" s="6" t="s">
        <v>333</v>
      </c>
      <c r="AK41" s="6" t="s">
        <v>333</v>
      </c>
      <c r="AL41" s="6" t="s">
        <v>339</v>
      </c>
      <c r="AM41" s="6" t="s">
        <v>349</v>
      </c>
      <c r="AN41" s="6" t="s">
        <v>317</v>
      </c>
      <c r="AO41" s="6" t="s">
        <v>314</v>
      </c>
      <c r="AP41" s="6" t="s">
        <v>352</v>
      </c>
      <c r="AQ41" s="6" t="s">
        <v>292</v>
      </c>
      <c r="AS41" s="6" t="s">
        <v>38</v>
      </c>
      <c r="AT41" s="6" t="s">
        <v>328</v>
      </c>
      <c r="AU41" s="6" t="s">
        <v>295</v>
      </c>
      <c r="AW41" s="6" t="s">
        <v>298</v>
      </c>
      <c r="AX41" s="6" t="s">
        <v>344</v>
      </c>
      <c r="AZ41" s="6" t="s">
        <v>337</v>
      </c>
      <c r="BG41" s="6" t="s">
        <v>396</v>
      </c>
      <c r="BJ41">
        <v>2</v>
      </c>
      <c r="BL41">
        <v>-2</v>
      </c>
      <c r="BM41">
        <v>2</v>
      </c>
    </row>
    <row r="42" spans="1:65">
      <c r="A42" t="s">
        <v>26</v>
      </c>
      <c r="B42" s="3">
        <v>0.75</v>
      </c>
      <c r="C42" s="3">
        <v>8</v>
      </c>
      <c r="D42" s="3">
        <f t="shared" si="1"/>
        <v>5</v>
      </c>
      <c r="E42" s="3">
        <v>4</v>
      </c>
      <c r="F42" s="160">
        <v>0.33333333333333331</v>
      </c>
      <c r="G42" s="160">
        <v>0.33333333333333331</v>
      </c>
      <c r="H42" s="160">
        <v>0.5</v>
      </c>
      <c r="I42" s="164">
        <v>2</v>
      </c>
      <c r="J42" s="4" t="s">
        <v>495</v>
      </c>
      <c r="K42" s="6">
        <f>IF(backgrndInd="Yes",2*totallevel,0)</f>
        <v>2</v>
      </c>
      <c r="O42" s="4" t="s">
        <v>200</v>
      </c>
      <c r="Q42" s="6" t="s">
        <v>376</v>
      </c>
      <c r="U42" s="6" t="s">
        <v>324</v>
      </c>
      <c r="V42" s="6" t="s">
        <v>327</v>
      </c>
      <c r="W42" s="6" t="s">
        <v>94</v>
      </c>
      <c r="X42" s="6" t="s">
        <v>314</v>
      </c>
      <c r="AD42" s="6" t="s">
        <v>337</v>
      </c>
      <c r="AE42" s="6" t="s">
        <v>287</v>
      </c>
      <c r="AF42" s="6" t="s">
        <v>328</v>
      </c>
      <c r="AG42" t="s">
        <v>7</v>
      </c>
      <c r="AJ42" s="6" t="s">
        <v>337</v>
      </c>
      <c r="AK42" s="6" t="s">
        <v>335</v>
      </c>
      <c r="AL42" s="6" t="s">
        <v>350</v>
      </c>
      <c r="AM42" s="6" t="s">
        <v>351</v>
      </c>
      <c r="AN42" s="6" t="s">
        <v>319</v>
      </c>
      <c r="AO42" s="6" t="s">
        <v>316</v>
      </c>
      <c r="AP42" s="6" t="s">
        <v>353</v>
      </c>
      <c r="AQ42" s="6" t="s">
        <v>295</v>
      </c>
      <c r="AS42" s="6" t="s">
        <v>39</v>
      </c>
      <c r="AT42" s="6" t="s">
        <v>330</v>
      </c>
      <c r="AU42" s="6" t="s">
        <v>296</v>
      </c>
      <c r="AW42" s="6" t="s">
        <v>299</v>
      </c>
      <c r="AX42" s="6" t="s">
        <v>349</v>
      </c>
      <c r="AZ42" s="6" t="s">
        <v>341</v>
      </c>
      <c r="BG42" s="6" t="s">
        <v>397</v>
      </c>
      <c r="BH42">
        <v>-2</v>
      </c>
      <c r="BI42">
        <v>4</v>
      </c>
      <c r="BM42">
        <v>-2</v>
      </c>
    </row>
    <row r="43" spans="1:65">
      <c r="A43" t="s">
        <v>27</v>
      </c>
      <c r="B43" s="3">
        <v>0.75</v>
      </c>
      <c r="C43" s="3">
        <v>8</v>
      </c>
      <c r="D43" s="3">
        <f t="shared" si="1"/>
        <v>5</v>
      </c>
      <c r="E43" s="3">
        <v>4</v>
      </c>
      <c r="F43" s="160">
        <v>0.5</v>
      </c>
      <c r="G43" s="166">
        <v>0.33333333333333331</v>
      </c>
      <c r="H43" s="160">
        <v>0.5</v>
      </c>
      <c r="I43" s="164">
        <v>2</v>
      </c>
      <c r="J43" s="4" t="s">
        <v>496</v>
      </c>
      <c r="K43">
        <f>SUM('Basic Sheet'!O4,'Basic Sheet'!O7,'Basic Sheet'!O8,'Basic Sheet'!O9,'Basic Sheet'!O15,'Basic Sheet'!O20,'Basic Sheet'!O21,'Basic Sheet'!O22, nobilityRanks,'Basic Sheet'!O28,'Basic Sheet'!O30,'Basic Sheet'!O31,'Basic Sheet'!O32,'Basic Sheet'!O33,'Basic Sheet'!O34,'Basic Sheet'!O35,'Basic Sheet'!O38)</f>
        <v>0</v>
      </c>
      <c r="O43" s="4" t="s">
        <v>489</v>
      </c>
      <c r="Q43" s="6" t="s">
        <v>377</v>
      </c>
      <c r="U43" s="6" t="s">
        <v>328</v>
      </c>
      <c r="V43" s="6" t="s">
        <v>331</v>
      </c>
      <c r="W43" s="6" t="s">
        <v>95</v>
      </c>
      <c r="X43" s="6" t="s">
        <v>319</v>
      </c>
      <c r="AD43" s="6" t="s">
        <v>339</v>
      </c>
      <c r="AE43" s="6" t="s">
        <v>288</v>
      </c>
      <c r="AF43" s="6" t="s">
        <v>330</v>
      </c>
      <c r="AG43" t="s">
        <v>44</v>
      </c>
      <c r="AJ43" s="6" t="s">
        <v>349</v>
      </c>
      <c r="AK43" s="6" t="s">
        <v>336</v>
      </c>
      <c r="AL43" s="6" t="s">
        <v>351</v>
      </c>
      <c r="AM43" s="6" t="s">
        <v>353</v>
      </c>
      <c r="AN43" s="6" t="s">
        <v>320</v>
      </c>
      <c r="AO43" s="6" t="s">
        <v>318</v>
      </c>
      <c r="AQ43" s="6" t="s">
        <v>298</v>
      </c>
      <c r="AS43" s="6" t="s">
        <v>286</v>
      </c>
      <c r="AT43" s="6" t="s">
        <v>341</v>
      </c>
      <c r="AU43" s="6" t="s">
        <v>297</v>
      </c>
      <c r="AW43" s="6" t="s">
        <v>301</v>
      </c>
      <c r="AX43" s="6" t="s">
        <v>356</v>
      </c>
      <c r="AZ43" s="6" t="s">
        <v>344</v>
      </c>
      <c r="BG43" s="6" t="s">
        <v>398</v>
      </c>
      <c r="BH43">
        <v>2</v>
      </c>
      <c r="BJ43">
        <v>2</v>
      </c>
    </row>
    <row r="44" spans="1:65">
      <c r="A44" t="s">
        <v>44</v>
      </c>
      <c r="B44" s="3">
        <v>1</v>
      </c>
      <c r="C44" s="3">
        <v>10</v>
      </c>
      <c r="D44" s="3">
        <f t="shared" si="1"/>
        <v>6</v>
      </c>
      <c r="E44" s="3">
        <v>6</v>
      </c>
      <c r="F44" s="160">
        <v>0.5</v>
      </c>
      <c r="G44" s="160">
        <v>0.5</v>
      </c>
      <c r="H44" s="166">
        <v>0.33333333333333331</v>
      </c>
      <c r="I44" s="164">
        <v>2</v>
      </c>
      <c r="J44" t="s">
        <v>46</v>
      </c>
      <c r="K44" t="s">
        <v>200</v>
      </c>
      <c r="L44" t="s">
        <v>35</v>
      </c>
      <c r="M44" t="s">
        <v>201</v>
      </c>
      <c r="O44" s="87" t="s">
        <v>489</v>
      </c>
      <c r="Q44" s="6" t="s">
        <v>378</v>
      </c>
      <c r="U44" s="6" t="s">
        <v>330</v>
      </c>
      <c r="V44" s="6" t="s">
        <v>332</v>
      </c>
      <c r="W44" s="6" t="s">
        <v>97</v>
      </c>
      <c r="X44" s="6" t="s">
        <v>320</v>
      </c>
      <c r="AD44" s="6" t="s">
        <v>345</v>
      </c>
      <c r="AE44" s="6" t="s">
        <v>296</v>
      </c>
      <c r="AF44" s="6" t="s">
        <v>331</v>
      </c>
      <c r="AJ44" s="6" t="s">
        <v>350</v>
      </c>
      <c r="AK44" s="6" t="s">
        <v>339</v>
      </c>
      <c r="AL44" s="6" t="s">
        <v>353</v>
      </c>
      <c r="AM44" s="6" t="s">
        <v>355</v>
      </c>
      <c r="AN44" s="6" t="s">
        <v>321</v>
      </c>
      <c r="AO44" s="6" t="s">
        <v>319</v>
      </c>
      <c r="AQ44" s="6" t="s">
        <v>299</v>
      </c>
      <c r="AS44" s="6" t="s">
        <v>298</v>
      </c>
      <c r="AU44" s="6" t="s">
        <v>300</v>
      </c>
      <c r="AW44" s="6" t="s">
        <v>304</v>
      </c>
      <c r="AX44" s="6" t="s">
        <v>357</v>
      </c>
      <c r="AZ44" s="6" t="s">
        <v>349</v>
      </c>
      <c r="BG44" s="6" t="s">
        <v>399</v>
      </c>
      <c r="BH44">
        <v>-2</v>
      </c>
      <c r="BI44">
        <v>2</v>
      </c>
      <c r="BL44">
        <v>2</v>
      </c>
    </row>
    <row r="45" spans="1:65">
      <c r="A45" t="s">
        <v>198</v>
      </c>
      <c r="B45" s="3">
        <v>0.5</v>
      </c>
      <c r="C45" s="3">
        <v>6</v>
      </c>
      <c r="D45" s="3">
        <f t="shared" si="1"/>
        <v>4</v>
      </c>
      <c r="E45" s="3">
        <v>2</v>
      </c>
      <c r="F45" s="160">
        <v>0.33333333333333331</v>
      </c>
      <c r="G45" s="166">
        <v>0.33333333333333331</v>
      </c>
      <c r="H45" s="160">
        <v>0.5</v>
      </c>
      <c r="I45" s="164">
        <v>2</v>
      </c>
      <c r="J45">
        <v>1</v>
      </c>
      <c r="K45">
        <v>0</v>
      </c>
      <c r="L45">
        <v>0</v>
      </c>
      <c r="M45">
        <v>0</v>
      </c>
      <c r="O45">
        <v>0</v>
      </c>
      <c r="Q45" s="6" t="s">
        <v>29</v>
      </c>
      <c r="U45" s="6" t="s">
        <v>331</v>
      </c>
      <c r="V45" s="6" t="s">
        <v>337</v>
      </c>
      <c r="W45" s="6" t="s">
        <v>34</v>
      </c>
      <c r="X45" s="6" t="s">
        <v>321</v>
      </c>
      <c r="AD45" s="6" t="s">
        <v>346</v>
      </c>
      <c r="AE45" s="6" t="s">
        <v>297</v>
      </c>
      <c r="AF45" s="6" t="s">
        <v>332</v>
      </c>
      <c r="AJ45" s="6" t="s">
        <v>351</v>
      </c>
      <c r="AK45" s="6" t="s">
        <v>343</v>
      </c>
      <c r="AL45" s="6" t="s">
        <v>354</v>
      </c>
      <c r="AM45" s="6" t="s">
        <v>356</v>
      </c>
      <c r="AN45" s="6" t="s">
        <v>324</v>
      </c>
      <c r="AO45" s="6" t="s">
        <v>321</v>
      </c>
      <c r="AQ45" s="6" t="s">
        <v>300</v>
      </c>
      <c r="AS45" s="6" t="s">
        <v>303</v>
      </c>
      <c r="AU45" s="6" t="s">
        <v>301</v>
      </c>
      <c r="AW45" s="6" t="s">
        <v>309</v>
      </c>
      <c r="AZ45" s="6" t="s">
        <v>350</v>
      </c>
      <c r="BG45" s="6" t="s">
        <v>400</v>
      </c>
      <c r="BI45">
        <v>2</v>
      </c>
      <c r="BJ45">
        <v>2</v>
      </c>
    </row>
    <row r="46" spans="1:65">
      <c r="A46" t="s">
        <v>39</v>
      </c>
      <c r="B46" s="3">
        <v>0.75</v>
      </c>
      <c r="C46" s="3">
        <v>8</v>
      </c>
      <c r="D46" s="3">
        <f t="shared" si="1"/>
        <v>5</v>
      </c>
      <c r="E46" s="3">
        <v>4</v>
      </c>
      <c r="F46" s="160">
        <v>0.5</v>
      </c>
      <c r="G46" s="166">
        <v>0.33333333333333331</v>
      </c>
      <c r="H46" s="160">
        <v>0.5</v>
      </c>
      <c r="I46" s="164">
        <v>2</v>
      </c>
      <c r="J46" s="6">
        <v>2</v>
      </c>
      <c r="K46">
        <v>3000</v>
      </c>
      <c r="L46">
        <v>2000</v>
      </c>
      <c r="M46">
        <v>1300</v>
      </c>
      <c r="O46">
        <v>30</v>
      </c>
      <c r="Q46" s="6" t="s">
        <v>97</v>
      </c>
      <c r="U46" s="6" t="s">
        <v>332</v>
      </c>
      <c r="V46" s="6" t="s">
        <v>339</v>
      </c>
      <c r="W46" s="6" t="s">
        <v>35</v>
      </c>
      <c r="X46" s="6" t="s">
        <v>324</v>
      </c>
      <c r="AD46" s="6" t="s">
        <v>354</v>
      </c>
      <c r="AE46" s="6" t="s">
        <v>304</v>
      </c>
      <c r="AF46" s="6" t="s">
        <v>333</v>
      </c>
      <c r="AJ46" s="6" t="s">
        <v>352</v>
      </c>
      <c r="AK46" s="6" t="s">
        <v>345</v>
      </c>
      <c r="AL46" t="s">
        <v>26</v>
      </c>
      <c r="AM46" s="6" t="s">
        <v>358</v>
      </c>
      <c r="AN46" s="6" t="s">
        <v>325</v>
      </c>
      <c r="AO46" s="6" t="s">
        <v>324</v>
      </c>
      <c r="AQ46" s="6" t="s">
        <v>303</v>
      </c>
      <c r="AS46" s="6" t="s">
        <v>304</v>
      </c>
      <c r="AU46" s="6" t="s">
        <v>304</v>
      </c>
      <c r="AW46" s="6" t="s">
        <v>311</v>
      </c>
      <c r="AZ46" s="6" t="s">
        <v>351</v>
      </c>
      <c r="BG46" s="6" t="s">
        <v>401</v>
      </c>
      <c r="BI46">
        <v>2</v>
      </c>
      <c r="BL46">
        <v>-2</v>
      </c>
      <c r="BM46">
        <v>2</v>
      </c>
    </row>
    <row r="47" spans="1:65">
      <c r="A47" t="s">
        <v>16</v>
      </c>
      <c r="B47" s="3">
        <v>0.75</v>
      </c>
      <c r="C47" s="3">
        <v>8</v>
      </c>
      <c r="D47" s="3">
        <f t="shared" si="1"/>
        <v>5</v>
      </c>
      <c r="E47" s="3">
        <v>2</v>
      </c>
      <c r="F47" s="160">
        <v>0.33333333333333331</v>
      </c>
      <c r="G47" s="166">
        <v>0.33333333333333331</v>
      </c>
      <c r="H47" s="160">
        <v>0.5</v>
      </c>
      <c r="I47" s="164">
        <v>2</v>
      </c>
      <c r="J47" s="6">
        <v>3</v>
      </c>
      <c r="K47">
        <v>7500</v>
      </c>
      <c r="L47">
        <v>5000</v>
      </c>
      <c r="M47">
        <v>3300</v>
      </c>
      <c r="O47">
        <v>60</v>
      </c>
      <c r="Q47" s="6" t="s">
        <v>17</v>
      </c>
      <c r="U47" s="6" t="s">
        <v>334</v>
      </c>
      <c r="V47" s="6" t="s">
        <v>341</v>
      </c>
      <c r="W47" s="6" t="s">
        <v>36</v>
      </c>
      <c r="X47" s="6" t="s">
        <v>325</v>
      </c>
      <c r="AD47" t="s">
        <v>44</v>
      </c>
      <c r="AE47" s="6" t="s">
        <v>306</v>
      </c>
      <c r="AF47" s="6" t="s">
        <v>340</v>
      </c>
      <c r="AJ47" s="6" t="s">
        <v>353</v>
      </c>
      <c r="AK47" s="6" t="s">
        <v>349</v>
      </c>
      <c r="AM47" s="6"/>
      <c r="AN47" s="6" t="s">
        <v>328</v>
      </c>
      <c r="AO47" s="6" t="s">
        <v>325</v>
      </c>
      <c r="AQ47" s="6" t="s">
        <v>306</v>
      </c>
      <c r="AS47" s="6" t="s">
        <v>309</v>
      </c>
      <c r="AU47" s="6" t="s">
        <v>306</v>
      </c>
      <c r="AW47" s="6" t="s">
        <v>312</v>
      </c>
      <c r="AZ47" t="s">
        <v>96</v>
      </c>
      <c r="BG47" s="6" t="s">
        <v>402</v>
      </c>
      <c r="BI47">
        <v>2</v>
      </c>
      <c r="BL47">
        <v>2</v>
      </c>
    </row>
    <row r="48" spans="1:65">
      <c r="A48" t="s">
        <v>378</v>
      </c>
      <c r="B48" s="3">
        <v>0.75</v>
      </c>
      <c r="C48" s="3">
        <v>8</v>
      </c>
      <c r="D48" s="3">
        <f t="shared" si="1"/>
        <v>5</v>
      </c>
      <c r="E48" s="3">
        <v>2</v>
      </c>
      <c r="F48" s="160">
        <v>0.33333333333333331</v>
      </c>
      <c r="G48" s="166">
        <v>0.33333333333333331</v>
      </c>
      <c r="H48" s="160">
        <v>0.5</v>
      </c>
      <c r="I48" s="164">
        <v>2</v>
      </c>
      <c r="J48" s="6">
        <v>4</v>
      </c>
      <c r="K48">
        <v>14000</v>
      </c>
      <c r="L48">
        <v>9000</v>
      </c>
      <c r="M48">
        <v>6000</v>
      </c>
      <c r="O48">
        <v>90</v>
      </c>
      <c r="Q48" s="6" t="s">
        <v>9</v>
      </c>
      <c r="U48" s="6" t="s">
        <v>335</v>
      </c>
      <c r="V48" s="6" t="s">
        <v>344</v>
      </c>
      <c r="W48" s="6" t="s">
        <v>37</v>
      </c>
      <c r="X48" s="6" t="s">
        <v>328</v>
      </c>
      <c r="AE48" s="6" t="s">
        <v>310</v>
      </c>
      <c r="AF48" s="6" t="s">
        <v>347</v>
      </c>
      <c r="AK48" s="6" t="s">
        <v>351</v>
      </c>
      <c r="AN48" s="6" t="s">
        <v>330</v>
      </c>
      <c r="AO48" s="6" t="s">
        <v>326</v>
      </c>
      <c r="AQ48" s="6" t="s">
        <v>308</v>
      </c>
      <c r="AS48" s="6" t="s">
        <v>311</v>
      </c>
      <c r="AU48" s="6" t="s">
        <v>308</v>
      </c>
      <c r="AW48" s="6" t="s">
        <v>316</v>
      </c>
      <c r="BG48" s="6" t="s">
        <v>403</v>
      </c>
      <c r="BH48">
        <v>-2</v>
      </c>
      <c r="BI48">
        <v>2</v>
      </c>
      <c r="BM48">
        <v>2</v>
      </c>
    </row>
    <row r="49" spans="1:65">
      <c r="A49" t="s">
        <v>28</v>
      </c>
      <c r="B49" s="3">
        <v>1</v>
      </c>
      <c r="C49" s="3">
        <v>10</v>
      </c>
      <c r="D49" s="3">
        <f t="shared" si="1"/>
        <v>6</v>
      </c>
      <c r="E49" s="3">
        <v>4</v>
      </c>
      <c r="F49" s="160">
        <v>0.33333333333333331</v>
      </c>
      <c r="G49" s="160">
        <v>0.5</v>
      </c>
      <c r="H49" s="166">
        <v>0.33333333333333331</v>
      </c>
      <c r="I49" s="164">
        <v>2</v>
      </c>
      <c r="J49" s="6">
        <v>5</v>
      </c>
      <c r="K49">
        <v>23000</v>
      </c>
      <c r="L49">
        <v>15000</v>
      </c>
      <c r="M49">
        <v>10000</v>
      </c>
      <c r="O49" s="6">
        <v>120</v>
      </c>
      <c r="Q49" s="6" t="s">
        <v>279</v>
      </c>
      <c r="U49" s="6" t="s">
        <v>338</v>
      </c>
      <c r="V49" s="6" t="s">
        <v>348</v>
      </c>
      <c r="W49" s="6" t="s">
        <v>38</v>
      </c>
      <c r="X49" s="6" t="s">
        <v>330</v>
      </c>
      <c r="AE49" s="6" t="s">
        <v>311</v>
      </c>
      <c r="AF49" s="6" t="s">
        <v>351</v>
      </c>
      <c r="AK49" s="6" t="s">
        <v>353</v>
      </c>
      <c r="AN49" s="6" t="s">
        <v>331</v>
      </c>
      <c r="AO49" s="6" t="s">
        <v>328</v>
      </c>
      <c r="AQ49" s="6" t="s">
        <v>310</v>
      </c>
      <c r="AS49" s="6" t="s">
        <v>314</v>
      </c>
      <c r="AU49" s="6" t="s">
        <v>310</v>
      </c>
      <c r="AW49" s="6" t="s">
        <v>319</v>
      </c>
      <c r="BG49" s="6" t="s">
        <v>404</v>
      </c>
      <c r="BH49">
        <v>-4</v>
      </c>
      <c r="BI49">
        <v>2</v>
      </c>
      <c r="BJ49">
        <v>-2</v>
      </c>
    </row>
    <row r="50" spans="1:65">
      <c r="A50" t="s">
        <v>29</v>
      </c>
      <c r="B50" s="3">
        <v>0.75</v>
      </c>
      <c r="C50" s="3">
        <v>8</v>
      </c>
      <c r="D50" s="3">
        <f t="shared" si="1"/>
        <v>5</v>
      </c>
      <c r="E50" s="3">
        <v>2</v>
      </c>
      <c r="F50" s="160">
        <v>0.5</v>
      </c>
      <c r="G50" s="166">
        <v>0.33333333333333331</v>
      </c>
      <c r="H50" s="160">
        <v>0.5</v>
      </c>
      <c r="I50" s="164">
        <v>2</v>
      </c>
      <c r="J50" s="6">
        <v>6</v>
      </c>
      <c r="K50">
        <v>35000</v>
      </c>
      <c r="L50">
        <v>23000</v>
      </c>
      <c r="M50">
        <v>15000</v>
      </c>
      <c r="O50" s="6">
        <v>150</v>
      </c>
      <c r="Q50" s="6" t="s">
        <v>280</v>
      </c>
      <c r="U50" s="6" t="s">
        <v>339</v>
      </c>
      <c r="V50" s="6" t="s">
        <v>351</v>
      </c>
      <c r="W50" s="6" t="s">
        <v>39</v>
      </c>
      <c r="X50" s="6" t="s">
        <v>331</v>
      </c>
      <c r="AE50" s="6" t="s">
        <v>312</v>
      </c>
      <c r="AF50" s="6" t="s">
        <v>352</v>
      </c>
      <c r="AN50" s="6" t="s">
        <v>332</v>
      </c>
      <c r="AO50" s="6" t="s">
        <v>329</v>
      </c>
      <c r="AQ50" s="6" t="s">
        <v>313</v>
      </c>
      <c r="AS50" s="6" t="s">
        <v>315</v>
      </c>
      <c r="AU50" s="6" t="s">
        <v>311</v>
      </c>
      <c r="AW50" s="6" t="s">
        <v>321</v>
      </c>
      <c r="BG50" s="6" t="s">
        <v>452</v>
      </c>
      <c r="BH50">
        <v>2</v>
      </c>
      <c r="BK50">
        <v>2</v>
      </c>
      <c r="BL50">
        <v>-2</v>
      </c>
    </row>
    <row r="51" spans="1:65">
      <c r="A51" t="s">
        <v>97</v>
      </c>
      <c r="B51" s="3">
        <v>1</v>
      </c>
      <c r="C51" s="3">
        <v>6</v>
      </c>
      <c r="D51" s="3">
        <v>6</v>
      </c>
      <c r="E51" s="3">
        <v>2</v>
      </c>
      <c r="F51" s="160">
        <v>0.5</v>
      </c>
      <c r="G51" s="166">
        <v>0.33333333333333331</v>
      </c>
      <c r="H51" s="166">
        <v>0.33333333333333331</v>
      </c>
      <c r="I51" s="164">
        <v>2</v>
      </c>
      <c r="J51" s="6">
        <v>7</v>
      </c>
      <c r="K51">
        <v>53000</v>
      </c>
      <c r="L51">
        <v>35000</v>
      </c>
      <c r="M51">
        <v>23000</v>
      </c>
      <c r="O51" s="6">
        <v>180</v>
      </c>
      <c r="Q51" s="6" t="s">
        <v>281</v>
      </c>
      <c r="U51" s="6" t="s">
        <v>342</v>
      </c>
      <c r="W51" s="6" t="s">
        <v>286</v>
      </c>
      <c r="X51" s="6" t="s">
        <v>332</v>
      </c>
      <c r="AE51" s="6" t="s">
        <v>315</v>
      </c>
      <c r="AF51" s="6" t="s">
        <v>353</v>
      </c>
      <c r="AN51" s="6" t="s">
        <v>333</v>
      </c>
      <c r="AO51" s="6" t="s">
        <v>330</v>
      </c>
      <c r="AQ51" s="6" t="s">
        <v>317</v>
      </c>
      <c r="AS51" s="6" t="s">
        <v>333</v>
      </c>
      <c r="AU51" s="6" t="s">
        <v>312</v>
      </c>
      <c r="AW51" s="6" t="s">
        <v>325</v>
      </c>
      <c r="BG51" t="s">
        <v>453</v>
      </c>
      <c r="BJ51">
        <v>-2</v>
      </c>
      <c r="BK51">
        <v>2</v>
      </c>
      <c r="BM51">
        <v>2</v>
      </c>
    </row>
    <row r="52" spans="1:65">
      <c r="A52" t="s">
        <v>17</v>
      </c>
      <c r="B52" s="3">
        <v>0.5</v>
      </c>
      <c r="C52" s="3">
        <v>6</v>
      </c>
      <c r="D52" s="3">
        <f>C52/2+1</f>
        <v>4</v>
      </c>
      <c r="E52" s="3">
        <v>2</v>
      </c>
      <c r="F52" s="160">
        <v>0.33333333333333331</v>
      </c>
      <c r="G52" s="166">
        <v>0.33333333333333331</v>
      </c>
      <c r="H52" s="160">
        <v>0.5</v>
      </c>
      <c r="I52" s="164">
        <v>2</v>
      </c>
      <c r="J52" s="6">
        <v>8</v>
      </c>
      <c r="K52">
        <v>77000</v>
      </c>
      <c r="L52">
        <v>51000</v>
      </c>
      <c r="M52">
        <v>34000</v>
      </c>
      <c r="O52" s="6">
        <v>210</v>
      </c>
      <c r="Q52" s="6" t="s">
        <v>282</v>
      </c>
      <c r="U52" s="6" t="s">
        <v>343</v>
      </c>
      <c r="W52" s="6" t="s">
        <v>294</v>
      </c>
      <c r="X52" s="6" t="s">
        <v>335</v>
      </c>
      <c r="AE52" s="6" t="s">
        <v>318</v>
      </c>
      <c r="AF52" s="6" t="s">
        <v>357</v>
      </c>
      <c r="AN52" s="6" t="s">
        <v>340</v>
      </c>
      <c r="AO52" s="6" t="s">
        <v>331</v>
      </c>
      <c r="AQ52" s="6" t="s">
        <v>318</v>
      </c>
      <c r="AS52" s="6" t="s">
        <v>341</v>
      </c>
      <c r="AU52" s="6" t="s">
        <v>314</v>
      </c>
      <c r="AW52" s="6" t="s">
        <v>326</v>
      </c>
      <c r="BG52" s="6" t="s">
        <v>405</v>
      </c>
      <c r="BH52">
        <v>2</v>
      </c>
      <c r="BJ52">
        <v>2</v>
      </c>
    </row>
    <row r="53" spans="1:65">
      <c r="A53" t="s">
        <v>9</v>
      </c>
      <c r="B53" s="3">
        <v>0.5</v>
      </c>
      <c r="C53" s="3">
        <v>6</v>
      </c>
      <c r="D53" s="3">
        <f>C53/2+1</f>
        <v>4</v>
      </c>
      <c r="E53" s="3">
        <v>2</v>
      </c>
      <c r="F53" s="160">
        <v>0.33333333333333331</v>
      </c>
      <c r="G53" s="166">
        <v>0.33333333333333331</v>
      </c>
      <c r="H53" s="160">
        <v>0.5</v>
      </c>
      <c r="I53" s="164">
        <v>2</v>
      </c>
      <c r="J53" s="6">
        <v>9</v>
      </c>
      <c r="K53">
        <v>115000</v>
      </c>
      <c r="L53">
        <v>75000</v>
      </c>
      <c r="M53">
        <v>50000</v>
      </c>
      <c r="O53" s="6">
        <v>240</v>
      </c>
      <c r="Q53" s="6" t="s">
        <v>283</v>
      </c>
      <c r="U53" s="6" t="s">
        <v>345</v>
      </c>
      <c r="W53" s="6" t="s">
        <v>303</v>
      </c>
      <c r="X53" s="6" t="s">
        <v>336</v>
      </c>
      <c r="AE53" s="6" t="s">
        <v>320</v>
      </c>
      <c r="AF53" s="6" t="s">
        <v>358</v>
      </c>
      <c r="AN53" s="6" t="s">
        <v>347</v>
      </c>
      <c r="AO53" s="6" t="s">
        <v>332</v>
      </c>
      <c r="AQ53" s="6" t="s">
        <v>324</v>
      </c>
      <c r="AS53" s="6" t="s">
        <v>351</v>
      </c>
      <c r="AU53" s="6" t="s">
        <v>316</v>
      </c>
      <c r="AW53" s="6" t="s">
        <v>333</v>
      </c>
      <c r="BG53" s="6" t="s">
        <v>406</v>
      </c>
      <c r="BI53">
        <v>2</v>
      </c>
      <c r="BJ53">
        <v>2</v>
      </c>
      <c r="BM53">
        <v>2</v>
      </c>
    </row>
    <row r="54" spans="1:65">
      <c r="J54" s="6">
        <v>10</v>
      </c>
      <c r="K54">
        <v>160000</v>
      </c>
      <c r="L54">
        <v>105000</v>
      </c>
      <c r="M54">
        <v>71000</v>
      </c>
      <c r="O54" s="6">
        <v>270</v>
      </c>
      <c r="Q54" s="6" t="s">
        <v>284</v>
      </c>
      <c r="U54" s="6" t="s">
        <v>347</v>
      </c>
      <c r="W54" s="6" t="s">
        <v>304</v>
      </c>
      <c r="X54" s="6" t="s">
        <v>342</v>
      </c>
      <c r="AE54" s="6" t="s">
        <v>322</v>
      </c>
      <c r="AF54" t="s">
        <v>36</v>
      </c>
      <c r="AN54" s="6" t="s">
        <v>351</v>
      </c>
      <c r="AO54" s="6" t="s">
        <v>333</v>
      </c>
      <c r="AQ54" s="6" t="s">
        <v>327</v>
      </c>
      <c r="AS54" s="6" t="s">
        <v>353</v>
      </c>
      <c r="AU54" s="6" t="s">
        <v>318</v>
      </c>
      <c r="AW54" s="6" t="s">
        <v>335</v>
      </c>
      <c r="BG54" s="6" t="s">
        <v>407</v>
      </c>
      <c r="BI54">
        <v>4</v>
      </c>
      <c r="BL54">
        <v>-2</v>
      </c>
      <c r="BM54">
        <v>-2</v>
      </c>
    </row>
    <row r="55" spans="1:65">
      <c r="J55" s="6">
        <v>11</v>
      </c>
      <c r="K55">
        <v>235000</v>
      </c>
      <c r="L55">
        <v>155000</v>
      </c>
      <c r="M55">
        <v>105000</v>
      </c>
      <c r="O55" s="6">
        <v>300</v>
      </c>
      <c r="Q55" s="6" t="s">
        <v>285</v>
      </c>
      <c r="U55" s="6" t="s">
        <v>349</v>
      </c>
      <c r="W55" s="6" t="s">
        <v>309</v>
      </c>
      <c r="X55" s="6" t="s">
        <v>343</v>
      </c>
      <c r="AE55" s="6" t="s">
        <v>323</v>
      </c>
      <c r="AN55" s="6" t="s">
        <v>353</v>
      </c>
      <c r="AO55" s="6" t="s">
        <v>336</v>
      </c>
      <c r="AQ55" s="6" t="s">
        <v>328</v>
      </c>
      <c r="AS55" t="s">
        <v>7</v>
      </c>
      <c r="AU55" s="6" t="s">
        <v>320</v>
      </c>
      <c r="AW55" s="6" t="s">
        <v>336</v>
      </c>
      <c r="BG55" s="6" t="s">
        <v>408</v>
      </c>
      <c r="BH55">
        <v>2</v>
      </c>
      <c r="BK55">
        <v>-2</v>
      </c>
      <c r="BM55">
        <v>2</v>
      </c>
    </row>
    <row r="56" spans="1:65">
      <c r="A56" s="6" t="s">
        <v>279</v>
      </c>
      <c r="B56" s="3">
        <v>0.5</v>
      </c>
      <c r="C56" s="3">
        <v>8</v>
      </c>
      <c r="D56" s="3">
        <f t="shared" ref="D56:D87" si="2">C56/2+1</f>
        <v>5</v>
      </c>
      <c r="E56" s="3">
        <v>4</v>
      </c>
      <c r="F56" s="160">
        <v>0.5</v>
      </c>
      <c r="G56" s="162">
        <v>0.33333333333333331</v>
      </c>
      <c r="H56" s="160">
        <v>0.5</v>
      </c>
      <c r="I56" s="165">
        <v>1</v>
      </c>
      <c r="J56" s="6">
        <v>12</v>
      </c>
      <c r="K56" s="5">
        <v>330000</v>
      </c>
      <c r="L56" s="87">
        <v>220000</v>
      </c>
      <c r="M56">
        <v>145000</v>
      </c>
      <c r="O56" s="6">
        <v>330</v>
      </c>
      <c r="Q56" s="6" t="s">
        <v>286</v>
      </c>
      <c r="U56" s="6" t="s">
        <v>356</v>
      </c>
      <c r="W56" s="6" t="s">
        <v>314</v>
      </c>
      <c r="X56" s="6" t="s">
        <v>345</v>
      </c>
      <c r="AE56" s="6" t="s">
        <v>325</v>
      </c>
      <c r="AN56" t="s">
        <v>15</v>
      </c>
      <c r="AO56" s="6" t="s">
        <v>337</v>
      </c>
      <c r="AQ56" s="6" t="s">
        <v>330</v>
      </c>
      <c r="AS56" t="s">
        <v>378</v>
      </c>
      <c r="AU56" s="6" t="s">
        <v>323</v>
      </c>
      <c r="AW56" s="6" t="s">
        <v>337</v>
      </c>
      <c r="BG56" s="6" t="s">
        <v>409</v>
      </c>
      <c r="BH56">
        <v>4</v>
      </c>
      <c r="BK56">
        <v>-2</v>
      </c>
      <c r="BL56">
        <v>-2</v>
      </c>
      <c r="BM56">
        <v>-2</v>
      </c>
    </row>
    <row r="57" spans="1:65">
      <c r="A57" s="6" t="s">
        <v>280</v>
      </c>
      <c r="B57" s="3">
        <v>1</v>
      </c>
      <c r="C57" s="3">
        <v>10</v>
      </c>
      <c r="D57" s="3">
        <f t="shared" si="2"/>
        <v>6</v>
      </c>
      <c r="E57" s="3">
        <v>2</v>
      </c>
      <c r="F57" s="162">
        <v>0.33333333333333331</v>
      </c>
      <c r="G57" s="160">
        <v>0.5</v>
      </c>
      <c r="H57" s="162">
        <v>0.33333333333333331</v>
      </c>
      <c r="I57" s="165">
        <v>1</v>
      </c>
      <c r="J57" s="6">
        <v>13</v>
      </c>
      <c r="K57">
        <v>475000</v>
      </c>
      <c r="L57">
        <v>315000</v>
      </c>
      <c r="M57">
        <v>210000</v>
      </c>
      <c r="O57" s="6">
        <v>360</v>
      </c>
      <c r="Q57" s="6" t="s">
        <v>287</v>
      </c>
      <c r="U57" s="6" t="s">
        <v>357</v>
      </c>
      <c r="W57" s="6" t="s">
        <v>320</v>
      </c>
      <c r="X57" s="6" t="s">
        <v>347</v>
      </c>
      <c r="AE57" s="6" t="s">
        <v>328</v>
      </c>
      <c r="AO57" s="6" t="s">
        <v>338</v>
      </c>
      <c r="AQ57" s="6" t="s">
        <v>331</v>
      </c>
      <c r="AS57" s="6" t="s">
        <v>97</v>
      </c>
      <c r="AU57" s="6" t="s">
        <v>324</v>
      </c>
      <c r="AW57" s="6" t="s">
        <v>340</v>
      </c>
      <c r="BG57" s="6" t="s">
        <v>410</v>
      </c>
      <c r="BH57">
        <v>2</v>
      </c>
      <c r="BL57">
        <v>2</v>
      </c>
      <c r="BM57">
        <v>-2</v>
      </c>
    </row>
    <row r="58" spans="1:65">
      <c r="A58" s="6" t="s">
        <v>281</v>
      </c>
      <c r="B58" s="3">
        <v>1</v>
      </c>
      <c r="C58" s="3">
        <v>10</v>
      </c>
      <c r="D58" s="3">
        <f t="shared" si="2"/>
        <v>6</v>
      </c>
      <c r="E58" s="3">
        <v>4</v>
      </c>
      <c r="F58" s="160">
        <v>0.5</v>
      </c>
      <c r="G58" s="160">
        <v>0.5</v>
      </c>
      <c r="H58" s="162">
        <v>0.33333333333333331</v>
      </c>
      <c r="I58" s="165">
        <v>1</v>
      </c>
      <c r="J58" s="6">
        <v>14</v>
      </c>
      <c r="K58">
        <v>665000</v>
      </c>
      <c r="L58">
        <v>445000</v>
      </c>
      <c r="M58">
        <v>295000</v>
      </c>
      <c r="O58" s="6">
        <v>390</v>
      </c>
      <c r="Q58" s="6" t="s">
        <v>288</v>
      </c>
      <c r="U58" s="6" t="s">
        <v>358</v>
      </c>
      <c r="W58" s="6" t="s">
        <v>333</v>
      </c>
      <c r="X58" s="6" t="s">
        <v>349</v>
      </c>
      <c r="AE58" s="6" t="s">
        <v>329</v>
      </c>
      <c r="AO58" s="6" t="s">
        <v>339</v>
      </c>
      <c r="AQ58" s="6" t="s">
        <v>332</v>
      </c>
      <c r="AU58" s="6" t="s">
        <v>325</v>
      </c>
      <c r="AW58" s="6" t="s">
        <v>346</v>
      </c>
      <c r="BG58" s="6" t="s">
        <v>411</v>
      </c>
      <c r="BH58">
        <v>-2</v>
      </c>
      <c r="BI58">
        <v>2</v>
      </c>
      <c r="BK58">
        <v>2</v>
      </c>
    </row>
    <row r="59" spans="1:65">
      <c r="A59" s="6" t="s">
        <v>282</v>
      </c>
      <c r="B59" s="3">
        <v>0.5</v>
      </c>
      <c r="C59" s="3">
        <v>6</v>
      </c>
      <c r="D59" s="3">
        <f t="shared" si="2"/>
        <v>4</v>
      </c>
      <c r="E59" s="3">
        <v>4</v>
      </c>
      <c r="F59" s="162">
        <v>0.33333333333333331</v>
      </c>
      <c r="G59" s="160">
        <v>0.5</v>
      </c>
      <c r="H59" s="160">
        <v>0.5</v>
      </c>
      <c r="I59" s="165">
        <v>1</v>
      </c>
      <c r="J59" s="6">
        <v>15</v>
      </c>
      <c r="K59">
        <v>955000</v>
      </c>
      <c r="L59">
        <v>635000</v>
      </c>
      <c r="M59">
        <v>425000</v>
      </c>
      <c r="O59" s="6">
        <v>420</v>
      </c>
      <c r="Q59" s="6" t="s">
        <v>289</v>
      </c>
      <c r="U59" t="s">
        <v>44</v>
      </c>
      <c r="W59" s="6" t="s">
        <v>341</v>
      </c>
      <c r="X59" s="6" t="s">
        <v>355</v>
      </c>
      <c r="AE59" s="6" t="s">
        <v>330</v>
      </c>
      <c r="AO59" s="6" t="s">
        <v>340</v>
      </c>
      <c r="AQ59" s="6" t="s">
        <v>333</v>
      </c>
      <c r="AU59" s="6" t="s">
        <v>326</v>
      </c>
      <c r="AW59" s="6" t="s">
        <v>347</v>
      </c>
      <c r="BG59" s="6" t="s">
        <v>412</v>
      </c>
      <c r="BJ59">
        <v>-2</v>
      </c>
      <c r="BK59">
        <v>2</v>
      </c>
      <c r="BL59">
        <v>2</v>
      </c>
    </row>
    <row r="60" spans="1:65">
      <c r="A60" s="6" t="s">
        <v>283</v>
      </c>
      <c r="B60" s="3">
        <v>0.5</v>
      </c>
      <c r="C60" s="3">
        <v>6</v>
      </c>
      <c r="D60" s="3">
        <f t="shared" si="2"/>
        <v>4</v>
      </c>
      <c r="E60" s="3">
        <v>2</v>
      </c>
      <c r="F60" s="162">
        <v>0.33333333333333331</v>
      </c>
      <c r="G60" s="162">
        <v>0.33333333333333331</v>
      </c>
      <c r="H60" s="160">
        <v>0.5</v>
      </c>
      <c r="I60" s="165">
        <v>1</v>
      </c>
      <c r="J60" s="6">
        <v>16</v>
      </c>
      <c r="K60">
        <v>1350000</v>
      </c>
      <c r="L60">
        <v>890000</v>
      </c>
      <c r="M60">
        <v>600000</v>
      </c>
      <c r="O60" s="6">
        <v>450</v>
      </c>
      <c r="Q60" s="6" t="s">
        <v>290</v>
      </c>
      <c r="W60" s="6" t="s">
        <v>351</v>
      </c>
      <c r="AE60" s="6" t="s">
        <v>334</v>
      </c>
      <c r="AO60" s="6" t="s">
        <v>341</v>
      </c>
      <c r="AQ60" s="6" t="s">
        <v>336</v>
      </c>
      <c r="AU60" s="6" t="s">
        <v>327</v>
      </c>
      <c r="AW60" s="6" t="s">
        <v>351</v>
      </c>
      <c r="BG60" s="6" t="s">
        <v>413</v>
      </c>
      <c r="BJ60">
        <v>2</v>
      </c>
      <c r="BM60">
        <v>2</v>
      </c>
    </row>
    <row r="61" spans="1:65">
      <c r="A61" s="6" t="s">
        <v>284</v>
      </c>
      <c r="B61" s="3">
        <v>0.75</v>
      </c>
      <c r="C61" s="3">
        <v>8</v>
      </c>
      <c r="D61" s="3">
        <f t="shared" si="2"/>
        <v>5</v>
      </c>
      <c r="E61" s="3">
        <v>4</v>
      </c>
      <c r="F61" s="162">
        <v>0.33333333333333331</v>
      </c>
      <c r="G61" s="160">
        <v>0.5</v>
      </c>
      <c r="H61" s="162">
        <v>0.33333333333333331</v>
      </c>
      <c r="I61" s="165">
        <v>1</v>
      </c>
      <c r="J61" s="6">
        <v>17</v>
      </c>
      <c r="K61">
        <v>1900000</v>
      </c>
      <c r="L61">
        <v>1300000</v>
      </c>
      <c r="M61">
        <v>850000</v>
      </c>
      <c r="O61" s="6">
        <v>480</v>
      </c>
      <c r="Q61" s="6" t="s">
        <v>291</v>
      </c>
      <c r="W61" s="6" t="s">
        <v>353</v>
      </c>
      <c r="AE61" s="6" t="s">
        <v>335</v>
      </c>
      <c r="AO61" s="6" t="s">
        <v>347</v>
      </c>
      <c r="AQ61" s="6" t="s">
        <v>339</v>
      </c>
      <c r="AU61" s="6" t="s">
        <v>328</v>
      </c>
      <c r="AW61" s="6" t="s">
        <v>352</v>
      </c>
      <c r="BG61" s="6" t="s">
        <v>414</v>
      </c>
      <c r="BK61">
        <v>-2</v>
      </c>
      <c r="BL61">
        <v>2</v>
      </c>
    </row>
    <row r="62" spans="1:65">
      <c r="A62" s="6" t="s">
        <v>285</v>
      </c>
      <c r="B62" s="3">
        <v>0.75</v>
      </c>
      <c r="C62" s="3">
        <v>8</v>
      </c>
      <c r="D62" s="3">
        <f t="shared" si="2"/>
        <v>5</v>
      </c>
      <c r="E62" s="3">
        <v>4</v>
      </c>
      <c r="F62" s="162">
        <v>0.33333333333333331</v>
      </c>
      <c r="G62" s="160">
        <v>0.5</v>
      </c>
      <c r="H62" s="162">
        <v>0.33333333333333331</v>
      </c>
      <c r="I62" s="165">
        <v>1</v>
      </c>
      <c r="J62" s="6">
        <v>18</v>
      </c>
      <c r="K62">
        <v>2700000</v>
      </c>
      <c r="L62">
        <v>1800000</v>
      </c>
      <c r="M62">
        <v>1200000</v>
      </c>
      <c r="O62" s="6">
        <v>510</v>
      </c>
      <c r="Q62" s="6" t="s">
        <v>292</v>
      </c>
      <c r="W62" t="s">
        <v>96</v>
      </c>
      <c r="AE62" s="6" t="s">
        <v>336</v>
      </c>
      <c r="AO62" s="6" t="s">
        <v>350</v>
      </c>
      <c r="AQ62" s="6" t="s">
        <v>341</v>
      </c>
      <c r="AU62" s="6" t="s">
        <v>329</v>
      </c>
      <c r="AW62" s="6" t="s">
        <v>353</v>
      </c>
      <c r="BG62" t="s">
        <v>454</v>
      </c>
      <c r="BK62">
        <v>2</v>
      </c>
      <c r="BL62">
        <v>-2</v>
      </c>
    </row>
    <row r="63" spans="1:65">
      <c r="A63" s="6" t="s">
        <v>286</v>
      </c>
      <c r="B63" s="3">
        <v>1</v>
      </c>
      <c r="C63" s="3">
        <v>10</v>
      </c>
      <c r="D63" s="3">
        <f t="shared" si="2"/>
        <v>6</v>
      </c>
      <c r="E63" s="3">
        <v>4</v>
      </c>
      <c r="F63" s="160">
        <v>0.5</v>
      </c>
      <c r="G63" s="162">
        <v>0.33333333333333331</v>
      </c>
      <c r="H63" s="160">
        <v>0.5</v>
      </c>
      <c r="I63" s="165">
        <v>1</v>
      </c>
      <c r="J63" s="6">
        <v>19</v>
      </c>
      <c r="K63">
        <v>3850000</v>
      </c>
      <c r="L63">
        <v>2550000</v>
      </c>
      <c r="M63">
        <v>1700000</v>
      </c>
      <c r="O63" s="6">
        <v>540</v>
      </c>
      <c r="Q63" s="6" t="s">
        <v>293</v>
      </c>
      <c r="W63" t="s">
        <v>12</v>
      </c>
      <c r="AE63" s="6" t="s">
        <v>337</v>
      </c>
      <c r="AO63" s="6" t="s">
        <v>351</v>
      </c>
      <c r="AQ63" s="6" t="s">
        <v>342</v>
      </c>
      <c r="AU63" s="6" t="s">
        <v>330</v>
      </c>
      <c r="AW63" s="6" t="s">
        <v>354</v>
      </c>
      <c r="BG63" t="s">
        <v>455</v>
      </c>
      <c r="BJ63">
        <v>2</v>
      </c>
      <c r="BM63">
        <v>-2</v>
      </c>
    </row>
    <row r="64" spans="1:65">
      <c r="A64" s="6" t="s">
        <v>287</v>
      </c>
      <c r="B64" s="3">
        <v>0.75</v>
      </c>
      <c r="C64" s="3">
        <v>8</v>
      </c>
      <c r="D64" s="3">
        <f t="shared" si="2"/>
        <v>5</v>
      </c>
      <c r="E64" s="3">
        <v>6</v>
      </c>
      <c r="F64" s="162">
        <v>0.33333333333333331</v>
      </c>
      <c r="G64" s="160">
        <v>0.5</v>
      </c>
      <c r="H64" s="162">
        <v>0.33333333333333331</v>
      </c>
      <c r="I64" s="165">
        <v>1</v>
      </c>
      <c r="J64" s="6">
        <v>20</v>
      </c>
      <c r="K64">
        <v>5350000</v>
      </c>
      <c r="L64">
        <v>3600000</v>
      </c>
      <c r="M64">
        <v>2400000</v>
      </c>
      <c r="O64" s="6">
        <v>570</v>
      </c>
      <c r="Q64" s="6" t="s">
        <v>294</v>
      </c>
      <c r="AE64" s="6" t="s">
        <v>338</v>
      </c>
      <c r="AO64" s="6" t="s">
        <v>353</v>
      </c>
      <c r="AQ64" s="6" t="s">
        <v>343</v>
      </c>
      <c r="AU64" s="6" t="s">
        <v>331</v>
      </c>
      <c r="AW64" s="6" t="s">
        <v>357</v>
      </c>
      <c r="BG64" t="s">
        <v>456</v>
      </c>
      <c r="BH64">
        <v>2</v>
      </c>
      <c r="BM64">
        <v>-2</v>
      </c>
    </row>
    <row r="65" spans="1:65">
      <c r="A65" s="6" t="s">
        <v>288</v>
      </c>
      <c r="B65" s="3">
        <v>0.5</v>
      </c>
      <c r="C65" s="3">
        <v>6</v>
      </c>
      <c r="D65" s="3">
        <f t="shared" si="2"/>
        <v>4</v>
      </c>
      <c r="E65" s="3">
        <v>4</v>
      </c>
      <c r="F65" s="162">
        <v>0.33333333333333331</v>
      </c>
      <c r="G65" s="162">
        <v>0.33333333333333331</v>
      </c>
      <c r="H65" s="160">
        <v>0.5</v>
      </c>
      <c r="I65" s="165">
        <v>1</v>
      </c>
      <c r="Q65" s="6" t="s">
        <v>295</v>
      </c>
      <c r="AE65" s="6" t="s">
        <v>339</v>
      </c>
      <c r="AO65" s="6" t="s">
        <v>356</v>
      </c>
      <c r="AQ65" s="6" t="s">
        <v>344</v>
      </c>
      <c r="AU65" s="6" t="s">
        <v>332</v>
      </c>
      <c r="BG65" t="s">
        <v>457</v>
      </c>
      <c r="BJ65">
        <v>2</v>
      </c>
      <c r="BL65">
        <v>-2</v>
      </c>
    </row>
    <row r="66" spans="1:65">
      <c r="A66" s="6" t="s">
        <v>289</v>
      </c>
      <c r="B66" s="3">
        <v>0.5</v>
      </c>
      <c r="C66" s="3">
        <v>6</v>
      </c>
      <c r="D66" s="3">
        <f t="shared" si="2"/>
        <v>4</v>
      </c>
      <c r="E66" s="3">
        <v>2</v>
      </c>
      <c r="F66" s="162">
        <v>0.33333333333333331</v>
      </c>
      <c r="G66" s="162">
        <v>0.33333333333333331</v>
      </c>
      <c r="H66" s="160">
        <v>0.5</v>
      </c>
      <c r="I66" s="165">
        <v>1</v>
      </c>
      <c r="Q66" s="6" t="s">
        <v>296</v>
      </c>
      <c r="AE66" s="6" t="s">
        <v>340</v>
      </c>
      <c r="AO66" s="6" t="s">
        <v>357</v>
      </c>
      <c r="AQ66" s="6" t="s">
        <v>345</v>
      </c>
      <c r="AU66" s="6" t="s">
        <v>335</v>
      </c>
      <c r="BG66" t="s">
        <v>458</v>
      </c>
      <c r="BH66">
        <v>-2</v>
      </c>
      <c r="BK66">
        <v>2</v>
      </c>
    </row>
    <row r="67" spans="1:65">
      <c r="A67" s="6" t="s">
        <v>290</v>
      </c>
      <c r="B67" s="3">
        <v>0.75</v>
      </c>
      <c r="C67" s="3">
        <v>8</v>
      </c>
      <c r="D67" s="3">
        <f t="shared" si="2"/>
        <v>5</v>
      </c>
      <c r="E67" s="3">
        <v>4</v>
      </c>
      <c r="F67" s="160">
        <v>0.5</v>
      </c>
      <c r="G67" s="160">
        <v>0.5</v>
      </c>
      <c r="H67" s="160">
        <v>0.5</v>
      </c>
      <c r="I67" s="165">
        <v>1</v>
      </c>
      <c r="J67" t="s">
        <v>123</v>
      </c>
      <c r="K67" t="s">
        <v>257</v>
      </c>
      <c r="L67" t="s">
        <v>35</v>
      </c>
      <c r="M67" t="s">
        <v>258</v>
      </c>
      <c r="O67" t="s">
        <v>257</v>
      </c>
      <c r="P67">
        <f>IF(sScore&lt;0,0,IF(sScore&gt;29,K96,IF(isMWPack="Yes",INDEX(vals!J68:M96,MATCH(sScore+1,vals!J68:J96,0),2),INDEX(vals!J68:M96,MATCH(sScore,vals!J68:J96,0),2))))</f>
        <v>33</v>
      </c>
      <c r="Q67" s="6" t="s">
        <v>297</v>
      </c>
      <c r="AE67" s="6" t="s">
        <v>341</v>
      </c>
      <c r="AQ67" s="6" t="s">
        <v>346</v>
      </c>
      <c r="AU67" s="6" t="s">
        <v>336</v>
      </c>
      <c r="BG67" t="s">
        <v>459</v>
      </c>
      <c r="BK67">
        <v>-2</v>
      </c>
      <c r="BL67">
        <v>2</v>
      </c>
    </row>
    <row r="68" spans="1:65">
      <c r="A68" s="6" t="s">
        <v>291</v>
      </c>
      <c r="B68" s="3">
        <v>1</v>
      </c>
      <c r="C68" s="3">
        <v>8</v>
      </c>
      <c r="D68" s="3">
        <f t="shared" si="2"/>
        <v>5</v>
      </c>
      <c r="E68" s="3">
        <v>4</v>
      </c>
      <c r="F68" s="160">
        <v>0.5</v>
      </c>
      <c r="G68" s="160">
        <v>0.5</v>
      </c>
      <c r="H68" s="160">
        <v>0.5</v>
      </c>
      <c r="I68" s="165">
        <v>1</v>
      </c>
      <c r="J68">
        <v>1</v>
      </c>
      <c r="K68">
        <v>3</v>
      </c>
      <c r="L68">
        <v>6</v>
      </c>
      <c r="M68">
        <v>10</v>
      </c>
      <c r="O68" t="s">
        <v>35</v>
      </c>
      <c r="P68" s="6">
        <f>IF(sScore&lt;0,0,IF(sScore&gt;29,L96,IF(isMWPack="Yes",INDEX(vals!J68:M96,MATCH(sScore+1,vals!J68:J96,0),3),INDEX(vals!J68:M96,MATCH(sScore,vals!J68:J96,0),3))))</f>
        <v>66</v>
      </c>
      <c r="Q68" s="6" t="s">
        <v>298</v>
      </c>
      <c r="AE68" s="6" t="s">
        <v>343</v>
      </c>
      <c r="AQ68" s="6" t="s">
        <v>348</v>
      </c>
      <c r="AU68" s="6" t="s">
        <v>337</v>
      </c>
      <c r="BG68" t="s">
        <v>460</v>
      </c>
      <c r="BI68">
        <v>2</v>
      </c>
      <c r="BL68">
        <v>-2</v>
      </c>
    </row>
    <row r="69" spans="1:65">
      <c r="A69" s="6" t="s">
        <v>292</v>
      </c>
      <c r="B69" s="3">
        <v>0.5</v>
      </c>
      <c r="C69" s="3">
        <v>6</v>
      </c>
      <c r="D69" s="3">
        <f t="shared" si="2"/>
        <v>4</v>
      </c>
      <c r="E69" s="3">
        <v>4</v>
      </c>
      <c r="F69" s="162">
        <v>0.33333333333333331</v>
      </c>
      <c r="G69" s="162">
        <v>0.33333333333333331</v>
      </c>
      <c r="H69" s="160">
        <v>0.5</v>
      </c>
      <c r="I69" s="165">
        <v>1</v>
      </c>
      <c r="J69">
        <v>2</v>
      </c>
      <c r="K69">
        <v>6</v>
      </c>
      <c r="L69">
        <v>13</v>
      </c>
      <c r="M69">
        <v>20</v>
      </c>
      <c r="O69" t="s">
        <v>258</v>
      </c>
      <c r="P69" s="6">
        <f>IF(sScore&lt;0,0,IF(sScore&gt;29,M96,IF(isMWPack="Yes",INDEX(vals!J68:M96,MATCH(sScore+1,vals!J68:J96,0),4),INDEX(vals!J68:M96,MATCH(sScore,vals!J68:J96,4),4))))</f>
        <v>100</v>
      </c>
      <c r="Q69" s="6" t="s">
        <v>299</v>
      </c>
      <c r="AE69" s="6" t="s">
        <v>344</v>
      </c>
      <c r="AQ69" s="6" t="s">
        <v>349</v>
      </c>
      <c r="AU69" s="6" t="s">
        <v>338</v>
      </c>
      <c r="BG69" t="s">
        <v>461</v>
      </c>
      <c r="BJ69">
        <v>2</v>
      </c>
      <c r="BK69">
        <v>-2</v>
      </c>
    </row>
    <row r="70" spans="1:65">
      <c r="A70" s="6" t="s">
        <v>293</v>
      </c>
      <c r="B70" s="3">
        <v>0.75</v>
      </c>
      <c r="C70" s="3">
        <v>8</v>
      </c>
      <c r="D70" s="3">
        <f t="shared" si="2"/>
        <v>5</v>
      </c>
      <c r="E70" s="3">
        <v>4</v>
      </c>
      <c r="F70" s="160">
        <v>0.5</v>
      </c>
      <c r="G70" s="162">
        <v>0.33333333333333331</v>
      </c>
      <c r="H70" s="162">
        <v>0.33333333333333331</v>
      </c>
      <c r="I70" s="165">
        <v>1</v>
      </c>
      <c r="J70" s="6">
        <v>3</v>
      </c>
      <c r="K70">
        <v>10</v>
      </c>
      <c r="L70">
        <v>20</v>
      </c>
      <c r="M70" s="6">
        <v>30</v>
      </c>
      <c r="Q70" s="6" t="s">
        <v>300</v>
      </c>
      <c r="AE70" s="6" t="s">
        <v>345</v>
      </c>
      <c r="AQ70" s="6" t="s">
        <v>350</v>
      </c>
      <c r="AU70" s="6" t="s">
        <v>339</v>
      </c>
      <c r="BG70" s="6" t="s">
        <v>415</v>
      </c>
      <c r="BI70">
        <v>2</v>
      </c>
      <c r="BM70">
        <v>-2</v>
      </c>
    </row>
    <row r="71" spans="1:65">
      <c r="A71" s="6" t="s">
        <v>294</v>
      </c>
      <c r="B71" s="3">
        <v>0.5</v>
      </c>
      <c r="C71" s="3">
        <v>6</v>
      </c>
      <c r="D71" s="3">
        <f t="shared" si="2"/>
        <v>4</v>
      </c>
      <c r="E71" s="3">
        <v>2</v>
      </c>
      <c r="F71" s="162">
        <v>0.33333333333333331</v>
      </c>
      <c r="G71" s="162">
        <v>0.33333333333333331</v>
      </c>
      <c r="H71" s="160">
        <v>0.5</v>
      </c>
      <c r="I71" s="165">
        <v>1</v>
      </c>
      <c r="J71" s="6">
        <v>4</v>
      </c>
      <c r="K71">
        <v>13</v>
      </c>
      <c r="L71">
        <v>26</v>
      </c>
      <c r="M71" s="6">
        <v>40</v>
      </c>
      <c r="Q71" s="6" t="s">
        <v>301</v>
      </c>
      <c r="AE71" s="6" t="s">
        <v>347</v>
      </c>
      <c r="AQ71" s="6" t="s">
        <v>351</v>
      </c>
      <c r="AU71" s="6" t="s">
        <v>343</v>
      </c>
      <c r="BG71" s="6" t="s">
        <v>416</v>
      </c>
      <c r="BH71">
        <v>2</v>
      </c>
      <c r="BK71">
        <v>-2</v>
      </c>
      <c r="BM71">
        <v>2</v>
      </c>
    </row>
    <row r="72" spans="1:65">
      <c r="A72" s="6" t="s">
        <v>295</v>
      </c>
      <c r="B72" s="3">
        <v>0.75</v>
      </c>
      <c r="C72" s="3">
        <v>8</v>
      </c>
      <c r="D72" s="3">
        <f t="shared" si="2"/>
        <v>5</v>
      </c>
      <c r="E72" s="3">
        <v>2</v>
      </c>
      <c r="F72" s="162">
        <v>0.33333333333333331</v>
      </c>
      <c r="G72" s="160">
        <v>0.5</v>
      </c>
      <c r="H72" s="160">
        <v>0.5</v>
      </c>
      <c r="I72" s="165">
        <v>1</v>
      </c>
      <c r="J72" s="6">
        <v>5</v>
      </c>
      <c r="K72">
        <v>16</v>
      </c>
      <c r="L72">
        <v>33</v>
      </c>
      <c r="M72" s="6">
        <v>50</v>
      </c>
      <c r="Q72" s="6" t="s">
        <v>302</v>
      </c>
      <c r="AE72" s="6" t="s">
        <v>348</v>
      </c>
      <c r="AQ72" s="6" t="s">
        <v>353</v>
      </c>
      <c r="AU72" s="6" t="s">
        <v>345</v>
      </c>
      <c r="BG72" s="6" t="s">
        <v>417</v>
      </c>
      <c r="BH72">
        <v>-2</v>
      </c>
      <c r="BI72">
        <v>2</v>
      </c>
      <c r="BL72">
        <v>2</v>
      </c>
      <c r="BM72">
        <v>-4</v>
      </c>
    </row>
    <row r="73" spans="1:65">
      <c r="A73" s="6" t="s">
        <v>296</v>
      </c>
      <c r="B73" s="3">
        <v>0.75</v>
      </c>
      <c r="C73" s="3">
        <v>8</v>
      </c>
      <c r="D73" s="3">
        <f t="shared" si="2"/>
        <v>5</v>
      </c>
      <c r="E73" s="3">
        <v>2</v>
      </c>
      <c r="F73" s="160">
        <v>0.5</v>
      </c>
      <c r="G73" s="162">
        <v>0.33333333333333331</v>
      </c>
      <c r="H73" s="162">
        <v>0.33333333333333331</v>
      </c>
      <c r="I73" s="165">
        <v>1</v>
      </c>
      <c r="J73" s="6">
        <v>6</v>
      </c>
      <c r="K73">
        <v>20</v>
      </c>
      <c r="L73">
        <v>40</v>
      </c>
      <c r="M73" s="6">
        <v>60</v>
      </c>
      <c r="Q73" s="6" t="s">
        <v>303</v>
      </c>
      <c r="AE73" s="6" t="s">
        <v>349</v>
      </c>
      <c r="AQ73" s="6" t="s">
        <v>355</v>
      </c>
      <c r="AU73" s="6" t="s">
        <v>346</v>
      </c>
      <c r="BG73" s="6" t="s">
        <v>418</v>
      </c>
      <c r="BI73">
        <v>2</v>
      </c>
      <c r="BJ73">
        <v>-2</v>
      </c>
      <c r="BK73">
        <v>2</v>
      </c>
    </row>
    <row r="74" spans="1:65">
      <c r="A74" s="6" t="s">
        <v>297</v>
      </c>
      <c r="B74" s="3">
        <v>0.5</v>
      </c>
      <c r="C74" s="3">
        <v>6</v>
      </c>
      <c r="D74" s="3">
        <f t="shared" si="2"/>
        <v>4</v>
      </c>
      <c r="E74" s="3">
        <v>2</v>
      </c>
      <c r="F74" s="162">
        <v>0.33333333333333331</v>
      </c>
      <c r="G74" s="162">
        <v>0.33333333333333331</v>
      </c>
      <c r="H74" s="160">
        <v>0.5</v>
      </c>
      <c r="I74" s="165">
        <v>1</v>
      </c>
      <c r="J74" s="6">
        <v>7</v>
      </c>
      <c r="K74">
        <v>23</v>
      </c>
      <c r="L74">
        <v>46</v>
      </c>
      <c r="M74" s="6">
        <v>70</v>
      </c>
      <c r="Q74" s="6" t="s">
        <v>304</v>
      </c>
      <c r="AE74" s="6" t="s">
        <v>353</v>
      </c>
      <c r="AQ74" s="6" t="s">
        <v>356</v>
      </c>
      <c r="AU74" s="6" t="s">
        <v>347</v>
      </c>
      <c r="BG74" s="6" t="s">
        <v>419</v>
      </c>
      <c r="BI74">
        <v>2</v>
      </c>
      <c r="BJ74">
        <v>-2</v>
      </c>
      <c r="BL74">
        <v>2</v>
      </c>
    </row>
    <row r="75" spans="1:65">
      <c r="A75" s="6" t="s">
        <v>298</v>
      </c>
      <c r="B75" s="3">
        <v>0.75</v>
      </c>
      <c r="C75" s="3">
        <v>8</v>
      </c>
      <c r="D75" s="3">
        <f t="shared" si="2"/>
        <v>5</v>
      </c>
      <c r="E75" s="3">
        <v>2</v>
      </c>
      <c r="F75" s="162">
        <v>0.33333333333333331</v>
      </c>
      <c r="G75" s="162">
        <v>0.33333333333333331</v>
      </c>
      <c r="H75" s="160">
        <v>0.5</v>
      </c>
      <c r="I75" s="165">
        <v>1</v>
      </c>
      <c r="J75" s="6">
        <v>8</v>
      </c>
      <c r="K75">
        <v>26</v>
      </c>
      <c r="L75">
        <v>53</v>
      </c>
      <c r="M75" s="6">
        <v>80</v>
      </c>
      <c r="Q75" s="6" t="s">
        <v>305</v>
      </c>
      <c r="AE75" s="6" t="s">
        <v>356</v>
      </c>
      <c r="AQ75" t="s">
        <v>0</v>
      </c>
      <c r="AU75" s="6" t="s">
        <v>348</v>
      </c>
      <c r="BG75" s="6" t="s">
        <v>420</v>
      </c>
      <c r="BI75">
        <v>2</v>
      </c>
      <c r="BK75">
        <v>2</v>
      </c>
      <c r="BM75">
        <v>-2</v>
      </c>
    </row>
    <row r="76" spans="1:65">
      <c r="A76" s="6" t="s">
        <v>299</v>
      </c>
      <c r="B76" s="3">
        <v>0.75</v>
      </c>
      <c r="C76" s="3">
        <v>12</v>
      </c>
      <c r="D76" s="3">
        <f t="shared" si="2"/>
        <v>7</v>
      </c>
      <c r="E76" s="3">
        <v>2</v>
      </c>
      <c r="F76" s="160">
        <v>0.5</v>
      </c>
      <c r="G76" s="162">
        <v>0.33333333333333331</v>
      </c>
      <c r="H76" s="160">
        <v>0.5</v>
      </c>
      <c r="I76" s="165">
        <v>1</v>
      </c>
      <c r="J76" s="6">
        <v>9</v>
      </c>
      <c r="K76">
        <v>30</v>
      </c>
      <c r="L76">
        <v>60</v>
      </c>
      <c r="M76" s="6">
        <v>90</v>
      </c>
      <c r="Q76" s="6" t="s">
        <v>306</v>
      </c>
      <c r="AE76" s="6" t="s">
        <v>358</v>
      </c>
      <c r="AU76" s="6" t="s">
        <v>349</v>
      </c>
      <c r="BG76" t="s">
        <v>462</v>
      </c>
      <c r="BI76">
        <v>2</v>
      </c>
      <c r="BK76">
        <v>-2</v>
      </c>
      <c r="BL76">
        <v>2</v>
      </c>
    </row>
    <row r="77" spans="1:65">
      <c r="A77" s="6" t="s">
        <v>300</v>
      </c>
      <c r="B77" s="3">
        <v>1</v>
      </c>
      <c r="C77" s="3">
        <v>10</v>
      </c>
      <c r="D77" s="3">
        <f t="shared" si="2"/>
        <v>6</v>
      </c>
      <c r="E77" s="3">
        <v>4</v>
      </c>
      <c r="F77" s="162">
        <v>0.33333333333333331</v>
      </c>
      <c r="G77" s="160">
        <v>0.5</v>
      </c>
      <c r="H77" s="162">
        <v>0.33333333333333331</v>
      </c>
      <c r="I77" s="165">
        <v>1</v>
      </c>
      <c r="J77" s="6">
        <v>10</v>
      </c>
      <c r="K77">
        <v>33</v>
      </c>
      <c r="L77">
        <v>66</v>
      </c>
      <c r="M77" s="6">
        <v>100</v>
      </c>
      <c r="Q77" s="6" t="s">
        <v>307</v>
      </c>
      <c r="AU77" s="6" t="s">
        <v>351</v>
      </c>
      <c r="BG77" s="6" t="s">
        <v>463</v>
      </c>
      <c r="BI77">
        <v>2</v>
      </c>
      <c r="BK77">
        <v>2</v>
      </c>
      <c r="BL77">
        <v>-2</v>
      </c>
    </row>
    <row r="78" spans="1:65">
      <c r="A78" s="6" t="s">
        <v>301</v>
      </c>
      <c r="B78" s="3">
        <v>1</v>
      </c>
      <c r="C78" s="3">
        <v>10</v>
      </c>
      <c r="D78" s="3">
        <f t="shared" si="2"/>
        <v>6</v>
      </c>
      <c r="E78" s="3">
        <v>2</v>
      </c>
      <c r="F78" s="160">
        <v>0.5</v>
      </c>
      <c r="G78" s="162">
        <v>0.33333333333333331</v>
      </c>
      <c r="H78" s="162">
        <v>0.33333333333333331</v>
      </c>
      <c r="I78" s="165">
        <v>1</v>
      </c>
      <c r="J78" s="6">
        <v>11</v>
      </c>
      <c r="K78">
        <v>38</v>
      </c>
      <c r="L78">
        <v>76</v>
      </c>
      <c r="M78">
        <v>115</v>
      </c>
      <c r="Q78" s="6" t="s">
        <v>308</v>
      </c>
      <c r="AU78" s="6" t="s">
        <v>355</v>
      </c>
      <c r="BG78" t="s">
        <v>464</v>
      </c>
      <c r="BJ78">
        <v>2</v>
      </c>
      <c r="BK78">
        <v>-2</v>
      </c>
      <c r="BL78">
        <v>2</v>
      </c>
    </row>
    <row r="79" spans="1:65">
      <c r="A79" s="6" t="s">
        <v>302</v>
      </c>
      <c r="B79" s="3">
        <v>0.5</v>
      </c>
      <c r="C79" s="3">
        <v>6</v>
      </c>
      <c r="D79" s="3">
        <f t="shared" si="2"/>
        <v>4</v>
      </c>
      <c r="E79" s="3">
        <v>2</v>
      </c>
      <c r="F79" s="162">
        <v>0.33333333333333331</v>
      </c>
      <c r="G79" s="162">
        <v>0.33333333333333331</v>
      </c>
      <c r="H79" s="160">
        <v>0.5</v>
      </c>
      <c r="I79" s="165">
        <v>1</v>
      </c>
      <c r="J79" s="6">
        <v>12</v>
      </c>
      <c r="K79">
        <v>43</v>
      </c>
      <c r="L79">
        <v>86</v>
      </c>
      <c r="M79">
        <v>130</v>
      </c>
      <c r="Q79" s="6" t="s">
        <v>309</v>
      </c>
      <c r="AU79" s="6" t="s">
        <v>356</v>
      </c>
      <c r="BG79" t="s">
        <v>465</v>
      </c>
      <c r="BH79">
        <v>2</v>
      </c>
      <c r="BK79">
        <v>-2</v>
      </c>
      <c r="BM79">
        <v>2</v>
      </c>
    </row>
    <row r="80" spans="1:65">
      <c r="A80" s="6" t="s">
        <v>303</v>
      </c>
      <c r="B80" s="3">
        <v>0.75</v>
      </c>
      <c r="C80" s="3">
        <v>8</v>
      </c>
      <c r="D80" s="3">
        <f t="shared" si="2"/>
        <v>5</v>
      </c>
      <c r="E80" s="3">
        <v>6</v>
      </c>
      <c r="F80" s="162">
        <v>0.33333333333333331</v>
      </c>
      <c r="G80" s="160">
        <v>0.5</v>
      </c>
      <c r="H80" s="162">
        <v>0.33333333333333331</v>
      </c>
      <c r="I80" s="165">
        <v>1</v>
      </c>
      <c r="J80" s="6">
        <v>13</v>
      </c>
      <c r="K80">
        <v>50</v>
      </c>
      <c r="L80">
        <v>100</v>
      </c>
      <c r="M80">
        <v>150</v>
      </c>
      <c r="Q80" s="6" t="s">
        <v>310</v>
      </c>
      <c r="AU80" t="s">
        <v>38</v>
      </c>
      <c r="BG80" t="s">
        <v>466</v>
      </c>
      <c r="BJ80">
        <v>2</v>
      </c>
      <c r="BL80">
        <v>2</v>
      </c>
      <c r="BM80">
        <v>-2</v>
      </c>
    </row>
    <row r="81" spans="1:65">
      <c r="A81" s="6" t="s">
        <v>304</v>
      </c>
      <c r="B81" s="3">
        <v>0.75</v>
      </c>
      <c r="C81" s="3">
        <v>8</v>
      </c>
      <c r="D81" s="3">
        <f t="shared" si="2"/>
        <v>5</v>
      </c>
      <c r="E81" s="3">
        <v>2</v>
      </c>
      <c r="F81" s="162">
        <v>0.33333333333333331</v>
      </c>
      <c r="G81" s="162">
        <v>0.33333333333333331</v>
      </c>
      <c r="H81" s="160">
        <v>0.5</v>
      </c>
      <c r="I81" s="165">
        <v>1</v>
      </c>
      <c r="J81" s="6">
        <v>14</v>
      </c>
      <c r="K81">
        <v>58</v>
      </c>
      <c r="L81">
        <v>116</v>
      </c>
      <c r="M81">
        <v>175</v>
      </c>
      <c r="Q81" s="6" t="s">
        <v>311</v>
      </c>
      <c r="BG81" t="s">
        <v>467</v>
      </c>
      <c r="BI81">
        <v>2</v>
      </c>
      <c r="BK81">
        <v>-2</v>
      </c>
      <c r="BM81">
        <v>2</v>
      </c>
    </row>
    <row r="82" spans="1:65">
      <c r="A82" s="6" t="s">
        <v>305</v>
      </c>
      <c r="B82" s="3">
        <v>1</v>
      </c>
      <c r="C82" s="3">
        <v>10</v>
      </c>
      <c r="D82" s="3">
        <f t="shared" si="2"/>
        <v>6</v>
      </c>
      <c r="E82" s="3">
        <v>2</v>
      </c>
      <c r="F82" s="160">
        <v>0.5</v>
      </c>
      <c r="G82" s="162">
        <v>0.33333333333333331</v>
      </c>
      <c r="H82" s="162">
        <v>0.33333333333333331</v>
      </c>
      <c r="I82" s="165">
        <v>1</v>
      </c>
      <c r="J82" s="6">
        <v>15</v>
      </c>
      <c r="K82">
        <v>66</v>
      </c>
      <c r="L82">
        <v>133</v>
      </c>
      <c r="M82">
        <v>200</v>
      </c>
      <c r="Q82" s="6" t="s">
        <v>312</v>
      </c>
      <c r="BG82" t="s">
        <v>468</v>
      </c>
      <c r="BJ82">
        <v>2</v>
      </c>
      <c r="BL82">
        <v>-2</v>
      </c>
      <c r="BM82">
        <v>2</v>
      </c>
    </row>
    <row r="83" spans="1:65">
      <c r="A83" s="6" t="s">
        <v>306</v>
      </c>
      <c r="B83" s="3">
        <v>0.75</v>
      </c>
      <c r="C83" s="3">
        <v>8</v>
      </c>
      <c r="D83" s="3">
        <f t="shared" si="2"/>
        <v>5</v>
      </c>
      <c r="E83" s="3">
        <v>6</v>
      </c>
      <c r="F83" s="160">
        <v>0.5</v>
      </c>
      <c r="G83" s="162">
        <v>0.33333333333333331</v>
      </c>
      <c r="H83" s="160">
        <v>0.5</v>
      </c>
      <c r="I83" s="165">
        <v>1</v>
      </c>
      <c r="J83" s="6">
        <v>16</v>
      </c>
      <c r="K83">
        <v>76</v>
      </c>
      <c r="L83">
        <v>153</v>
      </c>
      <c r="M83">
        <v>230</v>
      </c>
      <c r="Q83" s="6" t="s">
        <v>313</v>
      </c>
      <c r="BG83" t="s">
        <v>469</v>
      </c>
      <c r="BH83">
        <v>2</v>
      </c>
      <c r="BL83">
        <v>2</v>
      </c>
      <c r="BM83">
        <v>-2</v>
      </c>
    </row>
    <row r="84" spans="1:65">
      <c r="A84" s="6" t="s">
        <v>307</v>
      </c>
      <c r="B84" s="3">
        <v>0.75</v>
      </c>
      <c r="C84" s="3">
        <v>8</v>
      </c>
      <c r="D84" s="3">
        <f t="shared" si="2"/>
        <v>5</v>
      </c>
      <c r="E84" s="3">
        <v>4</v>
      </c>
      <c r="F84" s="162">
        <v>0.33333333333333331</v>
      </c>
      <c r="G84" s="162">
        <v>0.33333333333333331</v>
      </c>
      <c r="H84" s="160">
        <v>0.5</v>
      </c>
      <c r="I84" s="165">
        <v>1</v>
      </c>
      <c r="J84" s="6">
        <v>17</v>
      </c>
      <c r="K84">
        <v>86</v>
      </c>
      <c r="L84">
        <v>173</v>
      </c>
      <c r="M84">
        <v>260</v>
      </c>
      <c r="Q84" s="6" t="s">
        <v>314</v>
      </c>
      <c r="BG84" t="s">
        <v>470</v>
      </c>
      <c r="BH84">
        <v>2</v>
      </c>
      <c r="BK84">
        <v>-2</v>
      </c>
      <c r="BL84">
        <v>2</v>
      </c>
    </row>
    <row r="85" spans="1:65">
      <c r="A85" s="6" t="s">
        <v>308</v>
      </c>
      <c r="B85" s="3">
        <v>0.75</v>
      </c>
      <c r="C85" s="3">
        <v>8</v>
      </c>
      <c r="D85" s="3">
        <f t="shared" si="2"/>
        <v>5</v>
      </c>
      <c r="E85" s="3">
        <v>6</v>
      </c>
      <c r="F85" s="162">
        <v>0.33333333333333331</v>
      </c>
      <c r="G85" s="160">
        <v>0.5</v>
      </c>
      <c r="H85" s="160">
        <v>0.5</v>
      </c>
      <c r="I85" s="165">
        <v>1</v>
      </c>
      <c r="J85" s="6">
        <v>18</v>
      </c>
      <c r="K85">
        <v>100</v>
      </c>
      <c r="L85">
        <v>200</v>
      </c>
      <c r="M85">
        <v>300</v>
      </c>
      <c r="Q85" s="6" t="s">
        <v>315</v>
      </c>
      <c r="BG85" t="s">
        <v>471</v>
      </c>
      <c r="BI85">
        <v>2</v>
      </c>
      <c r="BL85">
        <v>-2</v>
      </c>
      <c r="BM85">
        <v>2</v>
      </c>
    </row>
    <row r="86" spans="1:65">
      <c r="A86" s="6" t="s">
        <v>309</v>
      </c>
      <c r="B86" s="3">
        <v>0.5</v>
      </c>
      <c r="C86" s="3">
        <v>6</v>
      </c>
      <c r="D86" s="3">
        <f t="shared" si="2"/>
        <v>4</v>
      </c>
      <c r="E86" s="3">
        <v>4</v>
      </c>
      <c r="F86" s="162">
        <v>0.33333333333333331</v>
      </c>
      <c r="G86" s="162">
        <v>0.33333333333333331</v>
      </c>
      <c r="H86" s="160">
        <v>0.5</v>
      </c>
      <c r="I86" s="165">
        <v>1</v>
      </c>
      <c r="J86" s="6">
        <v>19</v>
      </c>
      <c r="K86">
        <v>116</v>
      </c>
      <c r="L86">
        <v>233</v>
      </c>
      <c r="M86">
        <v>350</v>
      </c>
      <c r="Q86" s="6" t="s">
        <v>316</v>
      </c>
      <c r="BG86" s="6" t="s">
        <v>421</v>
      </c>
      <c r="BH86">
        <v>-2</v>
      </c>
      <c r="BJ86">
        <v>2</v>
      </c>
      <c r="BL86">
        <v>2</v>
      </c>
    </row>
    <row r="87" spans="1:65">
      <c r="A87" s="6" t="s">
        <v>310</v>
      </c>
      <c r="B87" s="3">
        <v>1</v>
      </c>
      <c r="C87" s="3">
        <v>10</v>
      </c>
      <c r="D87" s="3">
        <f t="shared" si="2"/>
        <v>6</v>
      </c>
      <c r="E87" s="3">
        <v>2</v>
      </c>
      <c r="F87" s="160">
        <v>0.5</v>
      </c>
      <c r="G87" s="162">
        <v>0.33333333333333331</v>
      </c>
      <c r="H87" s="162">
        <v>0.33333333333333331</v>
      </c>
      <c r="I87" s="165">
        <v>1</v>
      </c>
      <c r="J87" s="6">
        <v>20</v>
      </c>
      <c r="K87">
        <v>133</v>
      </c>
      <c r="L87">
        <v>266</v>
      </c>
      <c r="M87">
        <v>400</v>
      </c>
      <c r="Q87" s="6" t="s">
        <v>317</v>
      </c>
      <c r="BG87" s="6" t="s">
        <v>422</v>
      </c>
      <c r="BH87">
        <v>-2</v>
      </c>
      <c r="BI87">
        <v>2</v>
      </c>
      <c r="BL87">
        <v>2</v>
      </c>
    </row>
    <row r="88" spans="1:65">
      <c r="A88" s="6" t="s">
        <v>311</v>
      </c>
      <c r="B88" s="3">
        <v>0.75</v>
      </c>
      <c r="C88" s="3">
        <v>8</v>
      </c>
      <c r="D88" s="3">
        <f t="shared" ref="D88:D119" si="3">C88/2+1</f>
        <v>5</v>
      </c>
      <c r="E88" s="3">
        <v>2</v>
      </c>
      <c r="F88" s="162">
        <v>0.33333333333333331</v>
      </c>
      <c r="G88" s="162">
        <v>0.33333333333333331</v>
      </c>
      <c r="H88" s="160">
        <v>0.5</v>
      </c>
      <c r="I88" s="165">
        <v>1</v>
      </c>
      <c r="J88" s="6">
        <v>21</v>
      </c>
      <c r="K88">
        <v>153</v>
      </c>
      <c r="L88">
        <v>306</v>
      </c>
      <c r="M88">
        <v>460</v>
      </c>
      <c r="Q88" s="6" t="s">
        <v>318</v>
      </c>
      <c r="BG88" s="6" t="s">
        <v>423</v>
      </c>
      <c r="BI88">
        <v>2</v>
      </c>
      <c r="BL88">
        <v>2</v>
      </c>
      <c r="BM88">
        <v>-2</v>
      </c>
    </row>
    <row r="89" spans="1:65">
      <c r="A89" s="6" t="s">
        <v>312</v>
      </c>
      <c r="B89" s="3">
        <v>1</v>
      </c>
      <c r="C89" s="3">
        <v>10</v>
      </c>
      <c r="D89" s="3">
        <f t="shared" si="3"/>
        <v>6</v>
      </c>
      <c r="E89" s="3">
        <v>2</v>
      </c>
      <c r="F89" s="160">
        <v>0.5</v>
      </c>
      <c r="G89" s="162">
        <v>0.33333333333333331</v>
      </c>
      <c r="H89" s="160">
        <v>0.5</v>
      </c>
      <c r="I89" s="165">
        <v>1</v>
      </c>
      <c r="J89" s="6">
        <v>22</v>
      </c>
      <c r="K89">
        <v>173</v>
      </c>
      <c r="L89">
        <v>346</v>
      </c>
      <c r="M89">
        <v>520</v>
      </c>
      <c r="Q89" s="6" t="s">
        <v>319</v>
      </c>
      <c r="BG89" s="6" t="s">
        <v>424</v>
      </c>
      <c r="BI89">
        <v>2</v>
      </c>
      <c r="BL89">
        <v>-2</v>
      </c>
      <c r="BM89">
        <v>2</v>
      </c>
    </row>
    <row r="90" spans="1:65">
      <c r="A90" s="6" t="s">
        <v>313</v>
      </c>
      <c r="B90" s="3">
        <v>1</v>
      </c>
      <c r="C90" s="3">
        <v>10</v>
      </c>
      <c r="D90" s="3">
        <f t="shared" si="3"/>
        <v>6</v>
      </c>
      <c r="E90" s="3">
        <v>6</v>
      </c>
      <c r="F90" s="160">
        <v>0.5</v>
      </c>
      <c r="G90" s="162">
        <v>0.33333333333333331</v>
      </c>
      <c r="H90" s="162">
        <v>0.33333333333333331</v>
      </c>
      <c r="I90" s="165">
        <v>1</v>
      </c>
      <c r="J90" s="6">
        <v>23</v>
      </c>
      <c r="K90">
        <v>200</v>
      </c>
      <c r="L90">
        <v>400</v>
      </c>
      <c r="M90">
        <v>600</v>
      </c>
      <c r="Q90" s="6" t="s">
        <v>320</v>
      </c>
      <c r="BG90" s="6" t="s">
        <v>425</v>
      </c>
      <c r="BI90">
        <v>2</v>
      </c>
      <c r="BK90">
        <v>2</v>
      </c>
      <c r="BL90">
        <v>-2</v>
      </c>
    </row>
    <row r="91" spans="1:65">
      <c r="A91" s="6" t="s">
        <v>314</v>
      </c>
      <c r="B91" s="3">
        <v>1</v>
      </c>
      <c r="C91" s="3">
        <v>10</v>
      </c>
      <c r="D91" s="3">
        <f t="shared" si="3"/>
        <v>6</v>
      </c>
      <c r="E91" s="3">
        <v>2</v>
      </c>
      <c r="F91" s="160">
        <v>0.5</v>
      </c>
      <c r="G91" s="162">
        <v>0.33333333333333331</v>
      </c>
      <c r="H91" s="160">
        <v>0.5</v>
      </c>
      <c r="I91" s="165">
        <v>1</v>
      </c>
      <c r="J91" s="6">
        <v>24</v>
      </c>
      <c r="K91">
        <v>233</v>
      </c>
      <c r="L91">
        <v>466</v>
      </c>
      <c r="M91">
        <v>700</v>
      </c>
      <c r="Q91" s="6" t="s">
        <v>321</v>
      </c>
      <c r="BG91" s="6" t="s">
        <v>426</v>
      </c>
      <c r="BI91">
        <v>2</v>
      </c>
      <c r="BK91">
        <v>2</v>
      </c>
      <c r="BM91">
        <v>-2</v>
      </c>
    </row>
    <row r="92" spans="1:65">
      <c r="A92" s="6" t="s">
        <v>315</v>
      </c>
      <c r="B92" s="3">
        <v>0.75</v>
      </c>
      <c r="C92" s="3">
        <v>8</v>
      </c>
      <c r="D92" s="3">
        <f t="shared" si="3"/>
        <v>5</v>
      </c>
      <c r="E92" s="3">
        <v>6</v>
      </c>
      <c r="F92" s="162">
        <v>0.33333333333333331</v>
      </c>
      <c r="G92" s="160">
        <v>0.5</v>
      </c>
      <c r="H92" s="162">
        <v>0.33333333333333331</v>
      </c>
      <c r="I92" s="165">
        <v>1</v>
      </c>
      <c r="J92" s="6">
        <v>25</v>
      </c>
      <c r="K92">
        <v>266</v>
      </c>
      <c r="L92">
        <v>533</v>
      </c>
      <c r="M92">
        <v>800</v>
      </c>
      <c r="Q92" s="6" t="s">
        <v>322</v>
      </c>
      <c r="BG92" s="6" t="s">
        <v>427</v>
      </c>
      <c r="BI92">
        <v>2</v>
      </c>
      <c r="BK92">
        <v>-2</v>
      </c>
      <c r="BL92">
        <v>2</v>
      </c>
    </row>
    <row r="93" spans="1:65">
      <c r="A93" s="6" t="s">
        <v>316</v>
      </c>
      <c r="B93" s="3">
        <v>1</v>
      </c>
      <c r="C93" s="3">
        <v>10</v>
      </c>
      <c r="D93" s="3">
        <f t="shared" si="3"/>
        <v>6</v>
      </c>
      <c r="E93" s="3">
        <v>4</v>
      </c>
      <c r="F93" s="160">
        <v>0.5</v>
      </c>
      <c r="G93" s="162">
        <v>0.33333333333333331</v>
      </c>
      <c r="H93" s="162">
        <v>0.33333333333333331</v>
      </c>
      <c r="I93" s="165">
        <v>1</v>
      </c>
      <c r="J93" s="6">
        <v>26</v>
      </c>
      <c r="K93">
        <v>306</v>
      </c>
      <c r="L93">
        <v>613</v>
      </c>
      <c r="M93">
        <v>920</v>
      </c>
      <c r="Q93" s="6" t="s">
        <v>323</v>
      </c>
      <c r="BG93" s="7"/>
      <c r="BH93" s="7"/>
      <c r="BI93" s="7"/>
      <c r="BJ93" s="7"/>
      <c r="BK93" s="7"/>
      <c r="BL93" s="7"/>
      <c r="BM93" s="7"/>
    </row>
    <row r="94" spans="1:65">
      <c r="A94" s="6" t="s">
        <v>317</v>
      </c>
      <c r="B94" s="3">
        <v>1</v>
      </c>
      <c r="C94" s="3">
        <v>10</v>
      </c>
      <c r="D94" s="3">
        <f t="shared" si="3"/>
        <v>6</v>
      </c>
      <c r="E94" s="3">
        <v>4</v>
      </c>
      <c r="F94" s="160">
        <v>0.5</v>
      </c>
      <c r="G94" s="160">
        <v>0.5</v>
      </c>
      <c r="H94" s="162">
        <v>0.33333333333333331</v>
      </c>
      <c r="I94" s="165">
        <v>1</v>
      </c>
      <c r="J94" s="6">
        <v>27</v>
      </c>
      <c r="K94">
        <v>346</v>
      </c>
      <c r="L94">
        <v>693</v>
      </c>
      <c r="M94">
        <v>1040</v>
      </c>
      <c r="Q94" s="6" t="s">
        <v>324</v>
      </c>
    </row>
    <row r="95" spans="1:65">
      <c r="A95" s="6" t="s">
        <v>318</v>
      </c>
      <c r="B95" s="3">
        <v>0.75</v>
      </c>
      <c r="C95" s="3">
        <v>8</v>
      </c>
      <c r="D95" s="3">
        <f t="shared" si="3"/>
        <v>5</v>
      </c>
      <c r="E95" s="3">
        <v>2</v>
      </c>
      <c r="F95" s="160">
        <v>0.5</v>
      </c>
      <c r="G95" s="162">
        <v>0.33333333333333331</v>
      </c>
      <c r="H95" s="162">
        <v>0.33333333333333331</v>
      </c>
      <c r="I95" s="165">
        <v>1</v>
      </c>
      <c r="J95" s="6">
        <v>28</v>
      </c>
      <c r="K95">
        <v>400</v>
      </c>
      <c r="L95">
        <v>800</v>
      </c>
      <c r="M95">
        <v>1200</v>
      </c>
      <c r="Q95" s="6" t="s">
        <v>325</v>
      </c>
    </row>
    <row r="96" spans="1:65">
      <c r="A96" s="6" t="s">
        <v>319</v>
      </c>
      <c r="B96" s="3">
        <v>0.5</v>
      </c>
      <c r="C96" s="3">
        <v>6</v>
      </c>
      <c r="D96" s="3">
        <f t="shared" si="3"/>
        <v>4</v>
      </c>
      <c r="E96" s="3">
        <v>4</v>
      </c>
      <c r="F96" s="162">
        <v>0.33333333333333331</v>
      </c>
      <c r="G96" s="162">
        <v>0.33333333333333331</v>
      </c>
      <c r="H96" s="160">
        <v>0.5</v>
      </c>
      <c r="I96" s="165">
        <v>1</v>
      </c>
      <c r="J96" s="6">
        <v>29</v>
      </c>
      <c r="K96">
        <v>466</v>
      </c>
      <c r="L96">
        <v>933</v>
      </c>
      <c r="M96">
        <v>1400</v>
      </c>
      <c r="Q96" s="6" t="s">
        <v>326</v>
      </c>
    </row>
    <row r="97" spans="1:17">
      <c r="A97" s="6" t="s">
        <v>320</v>
      </c>
      <c r="B97" s="3">
        <v>1</v>
      </c>
      <c r="C97" s="3">
        <v>10</v>
      </c>
      <c r="D97" s="3">
        <f t="shared" si="3"/>
        <v>6</v>
      </c>
      <c r="E97" s="3">
        <v>2</v>
      </c>
      <c r="F97" s="160">
        <v>0.5</v>
      </c>
      <c r="G97" s="162">
        <v>0.33333333333333331</v>
      </c>
      <c r="H97" s="162">
        <v>0.33333333333333331</v>
      </c>
      <c r="I97" s="165">
        <v>1</v>
      </c>
      <c r="Q97" s="6" t="s">
        <v>327</v>
      </c>
    </row>
    <row r="98" spans="1:17">
      <c r="A98" s="6" t="s">
        <v>321</v>
      </c>
      <c r="B98" s="3">
        <v>0.5</v>
      </c>
      <c r="C98" s="3">
        <v>6</v>
      </c>
      <c r="D98" s="3">
        <f t="shared" si="3"/>
        <v>4</v>
      </c>
      <c r="E98" s="3">
        <v>2</v>
      </c>
      <c r="F98" s="162">
        <v>0.33333333333333331</v>
      </c>
      <c r="G98" s="162">
        <v>0.33333333333333331</v>
      </c>
      <c r="H98" s="160">
        <v>0.5</v>
      </c>
      <c r="I98" s="165">
        <v>1</v>
      </c>
      <c r="Q98" s="6" t="s">
        <v>328</v>
      </c>
    </row>
    <row r="99" spans="1:17">
      <c r="A99" s="6" t="s">
        <v>322</v>
      </c>
      <c r="B99" s="3">
        <v>1</v>
      </c>
      <c r="C99" s="3">
        <v>12</v>
      </c>
      <c r="D99" s="3">
        <f t="shared" si="3"/>
        <v>7</v>
      </c>
      <c r="E99" s="3">
        <v>4</v>
      </c>
      <c r="F99" s="160">
        <v>0.5</v>
      </c>
      <c r="G99" s="162">
        <v>0.33333333333333331</v>
      </c>
      <c r="H99" s="162">
        <v>0.33333333333333331</v>
      </c>
      <c r="I99" s="165">
        <v>1</v>
      </c>
      <c r="Q99" s="6" t="s">
        <v>329</v>
      </c>
    </row>
    <row r="100" spans="1:17">
      <c r="A100" s="6" t="s">
        <v>323</v>
      </c>
      <c r="B100" s="3">
        <v>1</v>
      </c>
      <c r="C100" s="3">
        <v>10</v>
      </c>
      <c r="D100" s="3">
        <f t="shared" si="3"/>
        <v>6</v>
      </c>
      <c r="E100" s="3">
        <v>2</v>
      </c>
      <c r="F100" s="160">
        <v>0.5</v>
      </c>
      <c r="G100" s="160">
        <v>0.5</v>
      </c>
      <c r="H100" s="162">
        <v>0.33333333333333331</v>
      </c>
      <c r="I100" s="165">
        <v>1</v>
      </c>
      <c r="Q100" s="6" t="s">
        <v>330</v>
      </c>
    </row>
    <row r="101" spans="1:17">
      <c r="A101" s="6" t="s">
        <v>324</v>
      </c>
      <c r="B101" s="3">
        <v>0.75</v>
      </c>
      <c r="C101" s="3">
        <v>8</v>
      </c>
      <c r="D101" s="3">
        <f t="shared" si="3"/>
        <v>5</v>
      </c>
      <c r="E101" s="3">
        <v>6</v>
      </c>
      <c r="F101" s="162">
        <v>0.33333333333333331</v>
      </c>
      <c r="G101" s="160">
        <v>0.5</v>
      </c>
      <c r="H101" s="160">
        <v>0.5</v>
      </c>
      <c r="I101" s="165">
        <v>1</v>
      </c>
      <c r="Q101" s="6" t="s">
        <v>331</v>
      </c>
    </row>
    <row r="102" spans="1:17">
      <c r="A102" s="6" t="s">
        <v>325</v>
      </c>
      <c r="B102" s="3">
        <v>0.75</v>
      </c>
      <c r="C102" s="3">
        <v>8</v>
      </c>
      <c r="D102" s="3">
        <f t="shared" si="3"/>
        <v>5</v>
      </c>
      <c r="E102" s="3">
        <v>2</v>
      </c>
      <c r="F102" s="162">
        <v>0.33333333333333331</v>
      </c>
      <c r="G102" s="162">
        <v>0.33333333333333331</v>
      </c>
      <c r="H102" s="160">
        <v>0.5</v>
      </c>
      <c r="I102" s="165">
        <v>1</v>
      </c>
      <c r="Q102" s="6" t="s">
        <v>332</v>
      </c>
    </row>
    <row r="103" spans="1:17">
      <c r="A103" s="6" t="s">
        <v>326</v>
      </c>
      <c r="B103" s="3">
        <v>0.5</v>
      </c>
      <c r="C103" s="3">
        <v>6</v>
      </c>
      <c r="D103" s="3">
        <f t="shared" si="3"/>
        <v>4</v>
      </c>
      <c r="E103" s="3">
        <v>2</v>
      </c>
      <c r="F103" s="162">
        <v>0.33333333333333331</v>
      </c>
      <c r="G103" s="162">
        <v>0.33333333333333331</v>
      </c>
      <c r="H103" s="160">
        <v>0.5</v>
      </c>
      <c r="I103" s="165">
        <v>1</v>
      </c>
      <c r="Q103" s="6" t="s">
        <v>333</v>
      </c>
    </row>
    <row r="104" spans="1:17">
      <c r="A104" s="6" t="s">
        <v>327</v>
      </c>
      <c r="B104" s="3">
        <v>0.75</v>
      </c>
      <c r="C104" s="3">
        <v>8</v>
      </c>
      <c r="D104" s="3">
        <f t="shared" si="3"/>
        <v>5</v>
      </c>
      <c r="E104" s="3">
        <v>4</v>
      </c>
      <c r="F104" s="160">
        <v>0.5</v>
      </c>
      <c r="G104" s="162">
        <v>0.33333333333333331</v>
      </c>
      <c r="H104" s="160">
        <v>0.5</v>
      </c>
      <c r="I104" s="165">
        <v>1</v>
      </c>
      <c r="Q104" s="6" t="s">
        <v>334</v>
      </c>
    </row>
    <row r="105" spans="1:17">
      <c r="A105" s="6" t="s">
        <v>328</v>
      </c>
      <c r="B105" s="3">
        <v>0.75</v>
      </c>
      <c r="C105" s="3">
        <v>8</v>
      </c>
      <c r="D105" s="3">
        <f t="shared" si="3"/>
        <v>5</v>
      </c>
      <c r="E105" s="3">
        <v>6</v>
      </c>
      <c r="F105" s="162">
        <v>0.33333333333333331</v>
      </c>
      <c r="G105" s="162">
        <v>0.33333333333333331</v>
      </c>
      <c r="H105" s="160">
        <v>0.5</v>
      </c>
      <c r="I105" s="165">
        <v>1</v>
      </c>
      <c r="Q105" s="6" t="s">
        <v>335</v>
      </c>
    </row>
    <row r="106" spans="1:17">
      <c r="A106" s="6" t="s">
        <v>329</v>
      </c>
      <c r="B106" s="3">
        <v>1</v>
      </c>
      <c r="C106" s="3">
        <v>10</v>
      </c>
      <c r="D106" s="3">
        <f t="shared" si="3"/>
        <v>6</v>
      </c>
      <c r="E106" s="3">
        <v>2</v>
      </c>
      <c r="F106" s="160">
        <v>0.5</v>
      </c>
      <c r="G106" s="162">
        <v>0.33333333333333331</v>
      </c>
      <c r="H106" s="162">
        <v>0.33333333333333331</v>
      </c>
      <c r="I106" s="165">
        <v>1</v>
      </c>
      <c r="Q106" s="6" t="s">
        <v>336</v>
      </c>
    </row>
    <row r="107" spans="1:17">
      <c r="A107" s="6" t="s">
        <v>330</v>
      </c>
      <c r="B107" s="3">
        <v>0.75</v>
      </c>
      <c r="C107" s="3">
        <v>8</v>
      </c>
      <c r="D107" s="3">
        <f t="shared" si="3"/>
        <v>5</v>
      </c>
      <c r="E107" s="3">
        <v>8</v>
      </c>
      <c r="F107" s="162">
        <v>0.33333333333333331</v>
      </c>
      <c r="G107" s="160">
        <v>0.5</v>
      </c>
      <c r="H107" s="160">
        <v>0.5</v>
      </c>
      <c r="I107" s="165">
        <v>1</v>
      </c>
      <c r="Q107" s="6" t="s">
        <v>337</v>
      </c>
    </row>
    <row r="108" spans="1:17">
      <c r="A108" s="6" t="s">
        <v>331</v>
      </c>
      <c r="B108" s="3">
        <v>0.75</v>
      </c>
      <c r="C108" s="3">
        <v>8</v>
      </c>
      <c r="D108" s="3">
        <f t="shared" si="3"/>
        <v>5</v>
      </c>
      <c r="E108" s="3">
        <v>8</v>
      </c>
      <c r="F108" s="162">
        <v>0.33333333333333331</v>
      </c>
      <c r="G108" s="160">
        <v>0.5</v>
      </c>
      <c r="H108" s="162">
        <v>0.33333333333333331</v>
      </c>
      <c r="I108" s="165">
        <v>1</v>
      </c>
      <c r="Q108" s="6" t="s">
        <v>338</v>
      </c>
    </row>
    <row r="109" spans="1:17">
      <c r="A109" s="6" t="s">
        <v>332</v>
      </c>
      <c r="B109" s="3">
        <v>0.75</v>
      </c>
      <c r="C109" s="3">
        <v>8</v>
      </c>
      <c r="D109" s="3">
        <f t="shared" si="3"/>
        <v>5</v>
      </c>
      <c r="E109" s="3">
        <v>6</v>
      </c>
      <c r="F109" s="162">
        <v>0.33333333333333331</v>
      </c>
      <c r="G109" s="160">
        <v>0.5</v>
      </c>
      <c r="H109" s="160">
        <v>0.5</v>
      </c>
      <c r="I109" s="165">
        <v>1</v>
      </c>
      <c r="Q109" s="6" t="s">
        <v>339</v>
      </c>
    </row>
    <row r="110" spans="1:17">
      <c r="A110" s="6" t="s">
        <v>333</v>
      </c>
      <c r="B110" s="3">
        <v>0.5</v>
      </c>
      <c r="C110" s="3">
        <v>6</v>
      </c>
      <c r="D110" s="3">
        <f t="shared" si="3"/>
        <v>4</v>
      </c>
      <c r="E110" s="3">
        <v>2</v>
      </c>
      <c r="F110" s="162">
        <v>0.33333333333333331</v>
      </c>
      <c r="G110" s="162">
        <v>0.33333333333333331</v>
      </c>
      <c r="H110" s="160">
        <v>0.5</v>
      </c>
      <c r="I110" s="165">
        <v>1</v>
      </c>
      <c r="Q110" s="6" t="s">
        <v>340</v>
      </c>
    </row>
    <row r="111" spans="1:17">
      <c r="A111" s="6" t="s">
        <v>334</v>
      </c>
      <c r="B111" s="3">
        <v>1</v>
      </c>
      <c r="C111" s="3">
        <v>10</v>
      </c>
      <c r="D111" s="3">
        <f t="shared" si="3"/>
        <v>6</v>
      </c>
      <c r="E111" s="3">
        <v>2</v>
      </c>
      <c r="F111" s="160">
        <v>0.5</v>
      </c>
      <c r="G111" s="162">
        <v>0.33333333333333331</v>
      </c>
      <c r="H111" s="162">
        <v>0.33333333333333331</v>
      </c>
      <c r="I111" s="165">
        <v>1</v>
      </c>
      <c r="Q111" s="6" t="s">
        <v>341</v>
      </c>
    </row>
    <row r="112" spans="1:17">
      <c r="A112" s="6" t="s">
        <v>335</v>
      </c>
      <c r="B112" s="3">
        <v>0.75</v>
      </c>
      <c r="C112" s="3">
        <v>8</v>
      </c>
      <c r="D112" s="3">
        <f t="shared" si="3"/>
        <v>5</v>
      </c>
      <c r="E112" s="3">
        <v>4</v>
      </c>
      <c r="F112" s="162">
        <v>0.33333333333333331</v>
      </c>
      <c r="G112" s="162">
        <v>0.33333333333333331</v>
      </c>
      <c r="H112" s="160">
        <v>0.5</v>
      </c>
      <c r="I112" s="165">
        <v>1</v>
      </c>
      <c r="Q112" s="6" t="s">
        <v>342</v>
      </c>
    </row>
    <row r="113" spans="1:17">
      <c r="A113" s="6" t="s">
        <v>336</v>
      </c>
      <c r="B113" s="3">
        <v>1</v>
      </c>
      <c r="C113" s="3">
        <v>10</v>
      </c>
      <c r="D113" s="3">
        <f t="shared" si="3"/>
        <v>6</v>
      </c>
      <c r="E113" s="3">
        <v>4</v>
      </c>
      <c r="F113" s="160">
        <v>0.5</v>
      </c>
      <c r="G113" s="162">
        <v>0.33333333333333331</v>
      </c>
      <c r="H113" s="160">
        <v>0.5</v>
      </c>
      <c r="I113" s="165">
        <v>1</v>
      </c>
      <c r="Q113" s="6" t="s">
        <v>343</v>
      </c>
    </row>
    <row r="114" spans="1:17">
      <c r="A114" s="6" t="s">
        <v>337</v>
      </c>
      <c r="B114" s="3">
        <v>0.75</v>
      </c>
      <c r="C114" s="3">
        <v>10</v>
      </c>
      <c r="D114" s="3">
        <f t="shared" si="3"/>
        <v>6</v>
      </c>
      <c r="E114" s="3">
        <v>4</v>
      </c>
      <c r="F114" s="160">
        <v>0.5</v>
      </c>
      <c r="G114" s="162">
        <v>0.33333333333333331</v>
      </c>
      <c r="H114" s="160">
        <v>0.5</v>
      </c>
      <c r="I114" s="165">
        <v>1</v>
      </c>
      <c r="Q114" s="6" t="s">
        <v>344</v>
      </c>
    </row>
    <row r="115" spans="1:17">
      <c r="A115" s="6" t="s">
        <v>338</v>
      </c>
      <c r="B115" s="3">
        <v>0.75</v>
      </c>
      <c r="C115" s="3">
        <v>8</v>
      </c>
      <c r="D115" s="3">
        <f t="shared" si="3"/>
        <v>5</v>
      </c>
      <c r="E115" s="3">
        <v>4</v>
      </c>
      <c r="F115" s="162">
        <v>0.33333333333333331</v>
      </c>
      <c r="G115" s="162">
        <v>0.33333333333333331</v>
      </c>
      <c r="H115" s="160">
        <v>0.5</v>
      </c>
      <c r="I115" s="165">
        <v>1</v>
      </c>
      <c r="Q115" s="6" t="s">
        <v>345</v>
      </c>
    </row>
    <row r="116" spans="1:17">
      <c r="A116" s="6" t="s">
        <v>339</v>
      </c>
      <c r="B116" s="3">
        <v>0.75</v>
      </c>
      <c r="C116" s="3">
        <v>8</v>
      </c>
      <c r="D116" s="3">
        <f t="shared" si="3"/>
        <v>5</v>
      </c>
      <c r="E116" s="3">
        <v>6</v>
      </c>
      <c r="F116" s="162">
        <v>0.33333333333333331</v>
      </c>
      <c r="G116" s="160">
        <v>0.5</v>
      </c>
      <c r="H116" s="160">
        <v>0.5</v>
      </c>
      <c r="I116" s="165">
        <v>1</v>
      </c>
      <c r="Q116" s="6" t="s">
        <v>346</v>
      </c>
    </row>
    <row r="117" spans="1:17">
      <c r="A117" s="6" t="s">
        <v>340</v>
      </c>
      <c r="B117" s="3">
        <v>0.75</v>
      </c>
      <c r="C117" s="3">
        <v>8</v>
      </c>
      <c r="D117" s="3">
        <f t="shared" si="3"/>
        <v>5</v>
      </c>
      <c r="E117" s="3">
        <v>4</v>
      </c>
      <c r="F117" s="160">
        <v>0.5</v>
      </c>
      <c r="G117" s="162">
        <v>0.33333333333333331</v>
      </c>
      <c r="H117" s="160">
        <v>0.5</v>
      </c>
      <c r="I117" s="165">
        <v>1</v>
      </c>
      <c r="Q117" s="6" t="s">
        <v>347</v>
      </c>
    </row>
    <row r="118" spans="1:17">
      <c r="A118" s="6" t="s">
        <v>341</v>
      </c>
      <c r="B118" s="3">
        <v>1</v>
      </c>
      <c r="C118" s="3">
        <v>10</v>
      </c>
      <c r="D118" s="3">
        <f t="shared" si="3"/>
        <v>6</v>
      </c>
      <c r="E118" s="3">
        <v>2</v>
      </c>
      <c r="F118" s="160">
        <v>0.5</v>
      </c>
      <c r="G118" s="162">
        <v>0.33333333333333331</v>
      </c>
      <c r="H118" s="162">
        <v>0.33333333333333331</v>
      </c>
      <c r="I118" s="165">
        <v>1</v>
      </c>
      <c r="Q118" s="6" t="s">
        <v>348</v>
      </c>
    </row>
    <row r="119" spans="1:17">
      <c r="A119" s="6" t="s">
        <v>342</v>
      </c>
      <c r="B119" s="3">
        <v>0.75</v>
      </c>
      <c r="C119" s="3">
        <v>6</v>
      </c>
      <c r="D119" s="3">
        <f t="shared" si="3"/>
        <v>4</v>
      </c>
      <c r="E119" s="3">
        <v>6</v>
      </c>
      <c r="F119" s="162">
        <v>0.33333333333333331</v>
      </c>
      <c r="G119" s="160">
        <v>0.5</v>
      </c>
      <c r="H119" s="162">
        <v>0.33333333333333331</v>
      </c>
      <c r="I119" s="165">
        <v>1</v>
      </c>
      <c r="Q119" s="6" t="s">
        <v>349</v>
      </c>
    </row>
    <row r="120" spans="1:17">
      <c r="A120" s="6" t="s">
        <v>343</v>
      </c>
      <c r="B120" s="3">
        <v>1</v>
      </c>
      <c r="C120" s="3">
        <v>10</v>
      </c>
      <c r="D120" s="3">
        <f t="shared" ref="D120:D134" si="4">C120/2+1</f>
        <v>6</v>
      </c>
      <c r="E120" s="3">
        <v>4</v>
      </c>
      <c r="F120" s="162">
        <v>0.33333333333333331</v>
      </c>
      <c r="G120" s="160">
        <v>0.5</v>
      </c>
      <c r="H120" s="160">
        <v>0.5</v>
      </c>
      <c r="I120" s="165">
        <v>1</v>
      </c>
      <c r="Q120" s="6" t="s">
        <v>350</v>
      </c>
    </row>
    <row r="121" spans="1:17">
      <c r="A121" s="6" t="s">
        <v>344</v>
      </c>
      <c r="B121" s="3">
        <v>1</v>
      </c>
      <c r="C121" s="3">
        <v>10</v>
      </c>
      <c r="D121" s="3">
        <f t="shared" si="4"/>
        <v>6</v>
      </c>
      <c r="E121" s="3">
        <v>5</v>
      </c>
      <c r="F121" s="160">
        <v>0.5</v>
      </c>
      <c r="G121" s="162">
        <v>0.33333333333333331</v>
      </c>
      <c r="H121" s="160">
        <v>0.5</v>
      </c>
      <c r="I121" s="165">
        <v>1</v>
      </c>
      <c r="Q121" s="6" t="s">
        <v>351</v>
      </c>
    </row>
    <row r="122" spans="1:17">
      <c r="A122" s="6" t="s">
        <v>345</v>
      </c>
      <c r="B122" s="3">
        <v>0.75</v>
      </c>
      <c r="C122" s="3">
        <v>8</v>
      </c>
      <c r="D122" s="3">
        <f t="shared" si="4"/>
        <v>5</v>
      </c>
      <c r="E122" s="3">
        <v>4</v>
      </c>
      <c r="F122" s="162">
        <v>0.33333333333333331</v>
      </c>
      <c r="G122" s="160">
        <v>0.5</v>
      </c>
      <c r="H122" s="160">
        <v>0.5</v>
      </c>
      <c r="I122" s="165">
        <v>1</v>
      </c>
      <c r="Q122" s="6" t="s">
        <v>352</v>
      </c>
    </row>
    <row r="123" spans="1:17">
      <c r="A123" s="6" t="s">
        <v>346</v>
      </c>
      <c r="B123" s="3">
        <v>0.5</v>
      </c>
      <c r="C123" s="3">
        <v>8</v>
      </c>
      <c r="D123" s="3">
        <f t="shared" si="4"/>
        <v>5</v>
      </c>
      <c r="E123" s="3">
        <v>2</v>
      </c>
      <c r="F123" s="162">
        <v>0.33333333333333331</v>
      </c>
      <c r="G123" s="162">
        <v>0.33333333333333331</v>
      </c>
      <c r="H123" s="160">
        <v>0.5</v>
      </c>
      <c r="I123" s="165">
        <v>1</v>
      </c>
      <c r="Q123" s="6" t="s">
        <v>353</v>
      </c>
    </row>
    <row r="124" spans="1:17">
      <c r="A124" s="6" t="s">
        <v>347</v>
      </c>
      <c r="B124" s="3">
        <v>0.5</v>
      </c>
      <c r="C124" s="3">
        <v>6</v>
      </c>
      <c r="D124" s="3">
        <f t="shared" si="4"/>
        <v>4</v>
      </c>
      <c r="E124" s="3">
        <v>2</v>
      </c>
      <c r="F124" s="162">
        <v>0.33333333333333331</v>
      </c>
      <c r="G124" s="162">
        <v>0.33333333333333331</v>
      </c>
      <c r="H124" s="160">
        <v>0.5</v>
      </c>
      <c r="I124" s="165">
        <v>1</v>
      </c>
      <c r="Q124" s="6" t="s">
        <v>354</v>
      </c>
    </row>
    <row r="125" spans="1:17">
      <c r="A125" s="6" t="s">
        <v>348</v>
      </c>
      <c r="B125" s="3">
        <v>1</v>
      </c>
      <c r="C125" s="3">
        <v>12</v>
      </c>
      <c r="D125" s="3">
        <f t="shared" si="4"/>
        <v>7</v>
      </c>
      <c r="E125" s="3">
        <v>2</v>
      </c>
      <c r="F125" s="160">
        <v>0.5</v>
      </c>
      <c r="G125" s="162">
        <v>0.33333333333333331</v>
      </c>
      <c r="H125" s="160">
        <v>0.5</v>
      </c>
      <c r="I125" s="165">
        <v>1</v>
      </c>
      <c r="Q125" s="6" t="s">
        <v>355</v>
      </c>
    </row>
    <row r="126" spans="1:17">
      <c r="A126" s="6" t="s">
        <v>349</v>
      </c>
      <c r="B126" s="3">
        <v>1</v>
      </c>
      <c r="C126" s="3">
        <v>10</v>
      </c>
      <c r="D126" s="3">
        <f t="shared" si="4"/>
        <v>6</v>
      </c>
      <c r="E126" s="3">
        <v>4</v>
      </c>
      <c r="F126" s="160">
        <v>0.5</v>
      </c>
      <c r="G126" s="162">
        <v>0.33333333333333331</v>
      </c>
      <c r="H126" s="162">
        <v>0.33333333333333331</v>
      </c>
      <c r="I126" s="165">
        <v>1</v>
      </c>
      <c r="Q126" s="6" t="s">
        <v>356</v>
      </c>
    </row>
    <row r="127" spans="1:17">
      <c r="A127" s="6" t="s">
        <v>350</v>
      </c>
      <c r="B127" s="3">
        <v>0.75</v>
      </c>
      <c r="C127" s="3">
        <v>8</v>
      </c>
      <c r="D127" s="3">
        <f t="shared" si="4"/>
        <v>5</v>
      </c>
      <c r="E127" s="3">
        <v>4</v>
      </c>
      <c r="F127" s="160">
        <v>0.5</v>
      </c>
      <c r="G127" s="162">
        <v>0.33333333333333331</v>
      </c>
      <c r="H127" s="160">
        <v>0.5</v>
      </c>
      <c r="I127" s="165">
        <v>1</v>
      </c>
      <c r="Q127" s="6" t="s">
        <v>357</v>
      </c>
    </row>
    <row r="128" spans="1:17">
      <c r="A128" s="6" t="s">
        <v>351</v>
      </c>
      <c r="B128" s="3">
        <v>1</v>
      </c>
      <c r="C128" s="3">
        <v>10</v>
      </c>
      <c r="D128" s="3">
        <f t="shared" si="4"/>
        <v>6</v>
      </c>
      <c r="E128" s="3">
        <v>6</v>
      </c>
      <c r="F128" s="162">
        <v>0.33333333333333331</v>
      </c>
      <c r="G128" s="162">
        <v>0.33333333333333331</v>
      </c>
      <c r="H128" s="160">
        <v>0.5</v>
      </c>
      <c r="I128" s="165">
        <v>1</v>
      </c>
      <c r="Q128" s="6" t="s">
        <v>358</v>
      </c>
    </row>
    <row r="129" spans="1:9">
      <c r="A129" s="6" t="s">
        <v>352</v>
      </c>
      <c r="B129" s="3">
        <v>5</v>
      </c>
      <c r="C129" s="3">
        <v>6</v>
      </c>
      <c r="D129" s="3">
        <f t="shared" si="4"/>
        <v>4</v>
      </c>
      <c r="E129" s="3">
        <v>2</v>
      </c>
      <c r="F129" s="162">
        <v>0.33333333333333331</v>
      </c>
      <c r="G129" s="162">
        <v>0.33333333333333331</v>
      </c>
      <c r="H129" s="160">
        <v>0.5</v>
      </c>
      <c r="I129" s="165">
        <v>1</v>
      </c>
    </row>
    <row r="130" spans="1:9">
      <c r="A130" s="6" t="s">
        <v>353</v>
      </c>
      <c r="B130" s="3">
        <v>0.5</v>
      </c>
      <c r="C130" s="3">
        <v>6</v>
      </c>
      <c r="D130" s="3">
        <f t="shared" si="4"/>
        <v>4</v>
      </c>
      <c r="E130" s="3">
        <v>4</v>
      </c>
      <c r="F130" s="162">
        <v>0.33333333333333331</v>
      </c>
      <c r="G130" s="162">
        <v>0.33333333333333331</v>
      </c>
      <c r="H130" s="160">
        <v>0.5</v>
      </c>
      <c r="I130" s="165">
        <v>1</v>
      </c>
    </row>
    <row r="131" spans="1:9">
      <c r="A131" s="6" t="s">
        <v>354</v>
      </c>
      <c r="B131" s="3">
        <v>0.5</v>
      </c>
      <c r="C131" s="3">
        <v>6</v>
      </c>
      <c r="D131" s="3">
        <f t="shared" si="4"/>
        <v>4</v>
      </c>
      <c r="E131" s="3">
        <v>2</v>
      </c>
      <c r="F131" s="162">
        <v>0.33333333333333331</v>
      </c>
      <c r="G131" s="162">
        <v>0.33333333333333331</v>
      </c>
      <c r="H131" s="160">
        <v>0.5</v>
      </c>
      <c r="I131" s="165">
        <v>1</v>
      </c>
    </row>
    <row r="132" spans="1:9">
      <c r="A132" s="6" t="s">
        <v>355</v>
      </c>
      <c r="B132" s="3">
        <v>1</v>
      </c>
      <c r="C132" s="3">
        <v>10</v>
      </c>
      <c r="D132" s="3">
        <f t="shared" si="4"/>
        <v>6</v>
      </c>
      <c r="E132" s="3">
        <v>4</v>
      </c>
      <c r="F132" s="160">
        <v>0.5</v>
      </c>
      <c r="G132" s="162">
        <v>0.33333333333333331</v>
      </c>
      <c r="H132" s="160">
        <v>0.5</v>
      </c>
      <c r="I132" s="165">
        <v>1</v>
      </c>
    </row>
    <row r="133" spans="1:9">
      <c r="A133" s="6" t="s">
        <v>356</v>
      </c>
      <c r="B133" s="3">
        <v>0.75</v>
      </c>
      <c r="C133" s="3">
        <v>8</v>
      </c>
      <c r="D133" s="3">
        <f t="shared" si="4"/>
        <v>5</v>
      </c>
      <c r="E133" s="3">
        <v>4</v>
      </c>
      <c r="F133" s="160">
        <v>0.5</v>
      </c>
      <c r="G133" s="162">
        <v>0.33333333333333331</v>
      </c>
      <c r="H133" s="160">
        <v>0.5</v>
      </c>
      <c r="I133" s="165">
        <v>1</v>
      </c>
    </row>
    <row r="134" spans="1:9">
      <c r="A134" s="6" t="s">
        <v>357</v>
      </c>
      <c r="B134" s="3">
        <v>0.5</v>
      </c>
      <c r="C134" s="3">
        <v>6</v>
      </c>
      <c r="D134" s="3">
        <f t="shared" si="4"/>
        <v>4</v>
      </c>
      <c r="E134" s="3">
        <v>2</v>
      </c>
      <c r="F134" s="162">
        <v>0.33333333333333331</v>
      </c>
      <c r="G134" s="162">
        <v>0.33333333333333331</v>
      </c>
      <c r="H134" s="160">
        <v>0.5</v>
      </c>
      <c r="I134" s="165">
        <v>1</v>
      </c>
    </row>
    <row r="135" spans="1:9">
      <c r="A135" s="6" t="s">
        <v>358</v>
      </c>
      <c r="B135" s="3">
        <v>0.5</v>
      </c>
      <c r="C135" s="3">
        <v>6</v>
      </c>
      <c r="D135" s="3">
        <v>4</v>
      </c>
      <c r="E135" s="3">
        <v>2</v>
      </c>
      <c r="F135" s="162">
        <v>0.33333333333333331</v>
      </c>
      <c r="G135" s="162">
        <v>0.33333333333333331</v>
      </c>
      <c r="H135" s="160">
        <v>0.5</v>
      </c>
      <c r="I135" s="165">
        <v>1</v>
      </c>
    </row>
  </sheetData>
  <sortState ref="A2:H53">
    <sortCondition ref="A1"/>
  </sortState>
  <mergeCells count="1">
    <mergeCell ref="J1:O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4" sqref="A14"/>
    </sheetView>
  </sheetViews>
  <sheetFormatPr baseColWidth="10" defaultColWidth="8.83203125" defaultRowHeight="14" x14ac:dyDescent="0"/>
  <cols>
    <col min="1" max="1" width="16" bestFit="1" customWidth="1"/>
    <col min="2" max="2" width="7.83203125" bestFit="1" customWidth="1"/>
    <col min="3" max="3" width="9.6640625" bestFit="1" customWidth="1"/>
    <col min="4" max="4" width="45.5" bestFit="1" customWidth="1"/>
  </cols>
  <sheetData>
    <row r="1" spans="1:4">
      <c r="A1" s="7" t="s">
        <v>379</v>
      </c>
      <c r="B1" s="7" t="s">
        <v>368</v>
      </c>
      <c r="C1" s="7" t="s">
        <v>369</v>
      </c>
      <c r="D1" s="7" t="s">
        <v>370</v>
      </c>
    </row>
    <row r="2" spans="1:4">
      <c r="A2" t="s">
        <v>380</v>
      </c>
      <c r="B2" s="135">
        <v>1</v>
      </c>
      <c r="C2" s="134">
        <v>42236</v>
      </c>
      <c r="D2" t="s">
        <v>371</v>
      </c>
    </row>
    <row r="3" spans="1:4">
      <c r="A3" t="s">
        <v>380</v>
      </c>
      <c r="B3">
        <v>1.01</v>
      </c>
      <c r="C3" s="134">
        <v>42426</v>
      </c>
      <c r="D3" t="s">
        <v>490</v>
      </c>
    </row>
    <row r="4" spans="1:4">
      <c r="A4" t="s">
        <v>380</v>
      </c>
      <c r="B4">
        <v>1.02</v>
      </c>
      <c r="C4" s="134">
        <v>42986</v>
      </c>
      <c r="D4" t="s">
        <v>497</v>
      </c>
    </row>
    <row r="5" spans="1:4">
      <c r="A5" t="s">
        <v>380</v>
      </c>
      <c r="B5">
        <v>1.03</v>
      </c>
      <c r="C5" s="134">
        <v>43088</v>
      </c>
      <c r="D5" t="s">
        <v>520</v>
      </c>
    </row>
    <row r="6" spans="1:4">
      <c r="A6" t="s">
        <v>380</v>
      </c>
      <c r="B6">
        <v>1.04</v>
      </c>
      <c r="C6" s="134">
        <v>43099</v>
      </c>
      <c r="D6" t="s">
        <v>521</v>
      </c>
    </row>
    <row r="7" spans="1:4">
      <c r="A7" t="s">
        <v>380</v>
      </c>
      <c r="B7">
        <v>1.05</v>
      </c>
      <c r="C7" s="134">
        <v>43125</v>
      </c>
      <c r="D7" t="s">
        <v>522</v>
      </c>
    </row>
    <row r="8" spans="1:4">
      <c r="A8" t="s">
        <v>380</v>
      </c>
      <c r="B8">
        <v>1.06</v>
      </c>
      <c r="C8" s="134">
        <v>43242</v>
      </c>
      <c r="D8" t="s">
        <v>523</v>
      </c>
    </row>
    <row r="9" spans="1:4">
      <c r="A9" t="s">
        <v>380</v>
      </c>
      <c r="B9">
        <v>1.07</v>
      </c>
      <c r="C9" s="134">
        <v>43563</v>
      </c>
      <c r="D9" t="s">
        <v>525</v>
      </c>
    </row>
    <row r="10" spans="1:4">
      <c r="A10" t="s">
        <v>380</v>
      </c>
      <c r="B10">
        <v>1.08</v>
      </c>
      <c r="C10" s="134">
        <v>43572</v>
      </c>
      <c r="D10" t="s">
        <v>526</v>
      </c>
    </row>
    <row r="11" spans="1:4">
      <c r="A11" t="s">
        <v>380</v>
      </c>
      <c r="B11">
        <v>1.0900000000000001</v>
      </c>
      <c r="C11" s="134">
        <v>44017</v>
      </c>
      <c r="D11" t="s">
        <v>527</v>
      </c>
    </row>
    <row r="12" spans="1:4">
      <c r="A12" s="6" t="s">
        <v>380</v>
      </c>
      <c r="B12">
        <v>1.1000000000000001</v>
      </c>
      <c r="C12" s="134">
        <v>44066</v>
      </c>
      <c r="D12" t="s">
        <v>528</v>
      </c>
    </row>
    <row r="13" spans="1:4">
      <c r="A13" t="s">
        <v>380</v>
      </c>
      <c r="B13">
        <v>1.1100000000000001</v>
      </c>
      <c r="C13" s="134">
        <v>44106</v>
      </c>
      <c r="D13" t="s">
        <v>532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opLeftCell="A7" workbookViewId="0">
      <selection activeCell="A6" sqref="A6"/>
    </sheetView>
  </sheetViews>
  <sheetFormatPr baseColWidth="10" defaultColWidth="8.83203125" defaultRowHeight="14" x14ac:dyDescent="0"/>
  <cols>
    <col min="1" max="1" width="21.5" bestFit="1" customWidth="1"/>
  </cols>
  <sheetData>
    <row r="1" spans="1:8">
      <c r="B1" s="73" t="s">
        <v>43</v>
      </c>
      <c r="C1" s="73" t="s">
        <v>41</v>
      </c>
      <c r="D1" s="73" t="s">
        <v>42</v>
      </c>
      <c r="E1" s="73" t="s">
        <v>88</v>
      </c>
      <c r="F1" s="73" t="s">
        <v>90</v>
      </c>
      <c r="G1" s="73" t="s">
        <v>89</v>
      </c>
      <c r="H1" s="73" t="s">
        <v>56</v>
      </c>
    </row>
    <row r="2" spans="1:8">
      <c r="A2" s="6" t="s">
        <v>94</v>
      </c>
      <c r="B2" t="s">
        <v>372</v>
      </c>
      <c r="C2" s="6" t="s">
        <v>372</v>
      </c>
      <c r="D2" s="6" t="s">
        <v>372</v>
      </c>
      <c r="E2" s="6" t="s">
        <v>372</v>
      </c>
      <c r="F2" s="6" t="s">
        <v>372</v>
      </c>
      <c r="G2" s="6" t="s">
        <v>372</v>
      </c>
      <c r="H2" s="6" t="s">
        <v>372</v>
      </c>
    </row>
    <row r="3" spans="1:8">
      <c r="A3" s="6" t="s">
        <v>10</v>
      </c>
      <c r="B3" s="6" t="s">
        <v>372</v>
      </c>
      <c r="C3" s="6" t="s">
        <v>372</v>
      </c>
      <c r="D3" s="6" t="s">
        <v>372</v>
      </c>
      <c r="E3" s="6" t="s">
        <v>372</v>
      </c>
      <c r="F3" s="6" t="s">
        <v>372</v>
      </c>
      <c r="G3" s="6" t="s">
        <v>372</v>
      </c>
      <c r="H3" s="6" t="s">
        <v>372</v>
      </c>
    </row>
    <row r="4" spans="1:8">
      <c r="A4" s="6" t="s">
        <v>18</v>
      </c>
      <c r="B4" s="6" t="s">
        <v>372</v>
      </c>
      <c r="C4" s="6" t="s">
        <v>372</v>
      </c>
      <c r="D4" s="6" t="s">
        <v>372</v>
      </c>
      <c r="E4" s="6" t="s">
        <v>372</v>
      </c>
      <c r="F4" s="6" t="s">
        <v>372</v>
      </c>
      <c r="G4" s="6" t="s">
        <v>372</v>
      </c>
      <c r="H4" s="6" t="s">
        <v>372</v>
      </c>
    </row>
    <row r="5" spans="1:8">
      <c r="A5" s="6" t="s">
        <v>21</v>
      </c>
      <c r="B5" s="6" t="s">
        <v>372</v>
      </c>
      <c r="C5" s="6" t="s">
        <v>372</v>
      </c>
      <c r="D5" s="6" t="s">
        <v>372</v>
      </c>
      <c r="E5" s="6" t="s">
        <v>372</v>
      </c>
      <c r="F5" s="6" t="s">
        <v>372</v>
      </c>
      <c r="G5" s="6" t="s">
        <v>372</v>
      </c>
      <c r="H5" s="6" t="s">
        <v>372</v>
      </c>
    </row>
    <row r="6" spans="1:8">
      <c r="A6" s="6" t="s">
        <v>95</v>
      </c>
      <c r="B6" s="6" t="s">
        <v>372</v>
      </c>
      <c r="C6" s="6" t="s">
        <v>372</v>
      </c>
      <c r="D6" s="6" t="s">
        <v>372</v>
      </c>
      <c r="E6" s="6" t="s">
        <v>372</v>
      </c>
      <c r="F6" s="6" t="s">
        <v>372</v>
      </c>
      <c r="G6" s="6" t="s">
        <v>372</v>
      </c>
      <c r="H6" s="6" t="s">
        <v>372</v>
      </c>
    </row>
    <row r="7" spans="1:8">
      <c r="A7" s="6" t="s">
        <v>0</v>
      </c>
      <c r="B7" s="6" t="s">
        <v>372</v>
      </c>
      <c r="C7" s="6" t="s">
        <v>372</v>
      </c>
      <c r="D7" s="6" t="s">
        <v>372</v>
      </c>
      <c r="E7" s="6" t="s">
        <v>372</v>
      </c>
      <c r="F7" s="6" t="s">
        <v>372</v>
      </c>
      <c r="G7" s="6" t="s">
        <v>372</v>
      </c>
      <c r="H7" s="6" t="s">
        <v>372</v>
      </c>
    </row>
    <row r="8" spans="1:8">
      <c r="A8" s="6" t="s">
        <v>1</v>
      </c>
      <c r="B8" s="6" t="s">
        <v>372</v>
      </c>
      <c r="C8" s="6" t="s">
        <v>372</v>
      </c>
      <c r="D8" s="6" t="s">
        <v>372</v>
      </c>
      <c r="E8" s="6" t="s">
        <v>372</v>
      </c>
      <c r="F8" s="6" t="s">
        <v>372</v>
      </c>
      <c r="G8" s="6" t="s">
        <v>372</v>
      </c>
      <c r="H8" s="6" t="s">
        <v>372</v>
      </c>
    </row>
    <row r="9" spans="1:8">
      <c r="A9" s="6" t="s">
        <v>22</v>
      </c>
      <c r="B9" s="6" t="s">
        <v>372</v>
      </c>
      <c r="C9" s="6" t="s">
        <v>372</v>
      </c>
      <c r="D9" s="6" t="s">
        <v>372</v>
      </c>
      <c r="E9" s="6" t="s">
        <v>372</v>
      </c>
      <c r="F9" s="6" t="s">
        <v>372</v>
      </c>
      <c r="G9" s="6" t="s">
        <v>372</v>
      </c>
      <c r="H9" s="6" t="s">
        <v>372</v>
      </c>
    </row>
    <row r="10" spans="1:8">
      <c r="A10" s="6" t="s">
        <v>23</v>
      </c>
      <c r="B10" s="6" t="s">
        <v>372</v>
      </c>
      <c r="C10" s="6" t="s">
        <v>372</v>
      </c>
      <c r="D10" s="6" t="s">
        <v>372</v>
      </c>
      <c r="E10" s="6" t="s">
        <v>372</v>
      </c>
      <c r="F10" s="6" t="s">
        <v>372</v>
      </c>
      <c r="G10" s="6" t="s">
        <v>372</v>
      </c>
      <c r="H10" s="6" t="s">
        <v>372</v>
      </c>
    </row>
    <row r="11" spans="1:8">
      <c r="A11" s="6" t="s">
        <v>11</v>
      </c>
      <c r="B11" s="6" t="s">
        <v>372</v>
      </c>
      <c r="C11" s="6" t="s">
        <v>372</v>
      </c>
      <c r="D11" s="6" t="s">
        <v>372</v>
      </c>
      <c r="E11" s="6" t="s">
        <v>372</v>
      </c>
      <c r="F11" s="6" t="s">
        <v>372</v>
      </c>
      <c r="G11" s="6" t="s">
        <v>372</v>
      </c>
      <c r="H11" s="6" t="s">
        <v>372</v>
      </c>
    </row>
    <row r="12" spans="1:8">
      <c r="A12" s="6" t="s">
        <v>2</v>
      </c>
      <c r="B12" s="6" t="s">
        <v>372</v>
      </c>
      <c r="C12" s="6" t="s">
        <v>372</v>
      </c>
      <c r="D12" s="6" t="s">
        <v>372</v>
      </c>
      <c r="E12" s="6" t="s">
        <v>372</v>
      </c>
      <c r="F12" s="6" t="s">
        <v>372</v>
      </c>
      <c r="G12" s="6" t="s">
        <v>372</v>
      </c>
      <c r="H12" s="6" t="s">
        <v>372</v>
      </c>
    </row>
    <row r="13" spans="1:8">
      <c r="A13" s="6" t="s">
        <v>96</v>
      </c>
      <c r="B13" s="6" t="s">
        <v>372</v>
      </c>
      <c r="C13" s="6" t="s">
        <v>372</v>
      </c>
      <c r="D13" s="6" t="s">
        <v>372</v>
      </c>
      <c r="E13" s="6" t="s">
        <v>372</v>
      </c>
      <c r="F13" s="6" t="s">
        <v>372</v>
      </c>
      <c r="G13" s="6" t="s">
        <v>372</v>
      </c>
      <c r="H13" s="6" t="s">
        <v>372</v>
      </c>
    </row>
    <row r="14" spans="1:8">
      <c r="A14" s="6" t="s">
        <v>3</v>
      </c>
      <c r="B14" s="6" t="s">
        <v>372</v>
      </c>
      <c r="C14" s="6" t="s">
        <v>372</v>
      </c>
      <c r="D14" s="6" t="s">
        <v>372</v>
      </c>
      <c r="E14" s="6" t="s">
        <v>372</v>
      </c>
      <c r="F14" s="6" t="s">
        <v>372</v>
      </c>
      <c r="G14" s="6" t="s">
        <v>372</v>
      </c>
      <c r="H14" s="6" t="s">
        <v>372</v>
      </c>
    </row>
    <row r="15" spans="1:8">
      <c r="A15" s="6" t="s">
        <v>98</v>
      </c>
      <c r="B15" s="6" t="s">
        <v>372</v>
      </c>
      <c r="C15" s="6" t="s">
        <v>372</v>
      </c>
      <c r="D15" s="6" t="s">
        <v>372</v>
      </c>
      <c r="E15" s="6" t="s">
        <v>372</v>
      </c>
      <c r="F15" s="6" t="s">
        <v>372</v>
      </c>
      <c r="G15" s="6" t="s">
        <v>372</v>
      </c>
      <c r="H15" s="6" t="s">
        <v>374</v>
      </c>
    </row>
    <row r="16" spans="1:8">
      <c r="A16" s="6" t="s">
        <v>4</v>
      </c>
      <c r="B16" s="6" t="s">
        <v>372</v>
      </c>
      <c r="C16" s="6" t="s">
        <v>372</v>
      </c>
      <c r="D16" s="6" t="s">
        <v>372</v>
      </c>
      <c r="E16" s="6" t="s">
        <v>372</v>
      </c>
      <c r="F16" s="6" t="s">
        <v>372</v>
      </c>
      <c r="G16" s="6" t="s">
        <v>372</v>
      </c>
      <c r="H16" s="6" t="s">
        <v>372</v>
      </c>
    </row>
    <row r="17" spans="1:8">
      <c r="A17" s="6" t="s">
        <v>12</v>
      </c>
      <c r="B17" s="6" t="s">
        <v>372</v>
      </c>
      <c r="C17" s="6" t="s">
        <v>372</v>
      </c>
      <c r="D17" s="6" t="s">
        <v>372</v>
      </c>
      <c r="E17" s="6" t="s">
        <v>372</v>
      </c>
      <c r="F17" s="6" t="s">
        <v>372</v>
      </c>
      <c r="G17" s="6" t="s">
        <v>372</v>
      </c>
      <c r="H17" s="6" t="s">
        <v>372</v>
      </c>
    </row>
    <row r="18" spans="1:8">
      <c r="A18" s="6" t="s">
        <v>24</v>
      </c>
      <c r="B18" s="6" t="s">
        <v>372</v>
      </c>
      <c r="C18" s="6" t="s">
        <v>372</v>
      </c>
      <c r="D18" s="6" t="s">
        <v>372</v>
      </c>
      <c r="E18" s="6" t="s">
        <v>372</v>
      </c>
      <c r="F18" s="6" t="s">
        <v>372</v>
      </c>
      <c r="G18" s="6" t="s">
        <v>372</v>
      </c>
      <c r="H18" s="6" t="s">
        <v>372</v>
      </c>
    </row>
    <row r="19" spans="1:8">
      <c r="A19" s="6" t="s">
        <v>13</v>
      </c>
      <c r="B19" s="6" t="s">
        <v>372</v>
      </c>
      <c r="C19" s="6" t="s">
        <v>372</v>
      </c>
      <c r="D19" s="6" t="s">
        <v>372</v>
      </c>
      <c r="E19" s="6" t="s">
        <v>372</v>
      </c>
      <c r="F19" s="6" t="s">
        <v>372</v>
      </c>
      <c r="G19" s="6" t="s">
        <v>372</v>
      </c>
      <c r="H19" s="6" t="s">
        <v>372</v>
      </c>
    </row>
    <row r="20" spans="1:8">
      <c r="A20" s="6" t="s">
        <v>25</v>
      </c>
      <c r="B20" s="6" t="s">
        <v>372</v>
      </c>
      <c r="C20" s="6" t="s">
        <v>372</v>
      </c>
      <c r="D20" s="6" t="s">
        <v>372</v>
      </c>
      <c r="E20" s="6" t="s">
        <v>372</v>
      </c>
      <c r="F20" s="6" t="s">
        <v>372</v>
      </c>
      <c r="G20" s="6" t="s">
        <v>372</v>
      </c>
      <c r="H20" s="6" t="s">
        <v>372</v>
      </c>
    </row>
    <row r="21" spans="1:8">
      <c r="A21" s="6" t="s">
        <v>34</v>
      </c>
      <c r="B21" s="6" t="s">
        <v>372</v>
      </c>
      <c r="C21" s="6" t="s">
        <v>372</v>
      </c>
      <c r="D21" s="6" t="s">
        <v>372</v>
      </c>
      <c r="E21" s="6" t="s">
        <v>372</v>
      </c>
      <c r="F21" s="6" t="s">
        <v>372</v>
      </c>
      <c r="G21" s="6" t="s">
        <v>372</v>
      </c>
      <c r="H21" s="6" t="s">
        <v>372</v>
      </c>
    </row>
    <row r="22" spans="1:8">
      <c r="A22" s="6" t="s">
        <v>14</v>
      </c>
      <c r="B22" s="6" t="s">
        <v>372</v>
      </c>
      <c r="C22" s="6" t="s">
        <v>372</v>
      </c>
      <c r="D22" s="6" t="s">
        <v>372</v>
      </c>
      <c r="E22" s="6" t="s">
        <v>372</v>
      </c>
      <c r="F22" s="6" t="s">
        <v>372</v>
      </c>
      <c r="G22" s="6" t="s">
        <v>372</v>
      </c>
      <c r="H22" s="6" t="s">
        <v>372</v>
      </c>
    </row>
    <row r="23" spans="1:8">
      <c r="A23" s="6" t="s">
        <v>35</v>
      </c>
      <c r="B23" s="6" t="s">
        <v>372</v>
      </c>
      <c r="C23" s="6" t="s">
        <v>372</v>
      </c>
      <c r="D23" s="6" t="s">
        <v>372</v>
      </c>
      <c r="E23" s="6" t="s">
        <v>372</v>
      </c>
      <c r="F23" s="6" t="s">
        <v>372</v>
      </c>
      <c r="G23" s="6" t="s">
        <v>372</v>
      </c>
      <c r="H23" s="6" t="s">
        <v>372</v>
      </c>
    </row>
    <row r="24" spans="1:8">
      <c r="A24" s="6" t="s">
        <v>36</v>
      </c>
      <c r="B24" s="6" t="s">
        <v>372</v>
      </c>
      <c r="C24" s="6" t="s">
        <v>372</v>
      </c>
      <c r="D24" s="6" t="s">
        <v>372</v>
      </c>
      <c r="E24" s="6" t="s">
        <v>372</v>
      </c>
      <c r="F24" s="6" t="s">
        <v>372</v>
      </c>
      <c r="G24" s="6" t="s">
        <v>372</v>
      </c>
      <c r="H24" s="6" t="s">
        <v>372</v>
      </c>
    </row>
    <row r="25" spans="1:8">
      <c r="A25" s="6" t="s">
        <v>5</v>
      </c>
      <c r="B25" s="6" t="s">
        <v>372</v>
      </c>
      <c r="C25" s="6" t="s">
        <v>372</v>
      </c>
      <c r="D25" s="6" t="s">
        <v>372</v>
      </c>
      <c r="E25" s="6" t="s">
        <v>372</v>
      </c>
      <c r="F25" s="6" t="s">
        <v>372</v>
      </c>
      <c r="G25" s="6" t="s">
        <v>372</v>
      </c>
      <c r="H25" s="6" t="s">
        <v>372</v>
      </c>
    </row>
    <row r="26" spans="1:8">
      <c r="A26" s="6" t="s">
        <v>19</v>
      </c>
      <c r="B26" s="6" t="s">
        <v>372</v>
      </c>
      <c r="C26" s="6" t="s">
        <v>372</v>
      </c>
      <c r="D26" s="6" t="s">
        <v>372</v>
      </c>
      <c r="E26" s="6" t="s">
        <v>372</v>
      </c>
      <c r="F26" s="6" t="s">
        <v>372</v>
      </c>
      <c r="G26" s="6" t="s">
        <v>372</v>
      </c>
      <c r="H26" s="6" t="s">
        <v>372</v>
      </c>
    </row>
    <row r="27" spans="1:8">
      <c r="A27" s="6" t="s">
        <v>37</v>
      </c>
      <c r="B27" s="6" t="s">
        <v>372</v>
      </c>
      <c r="C27" s="6" t="s">
        <v>372</v>
      </c>
      <c r="D27" s="6" t="s">
        <v>372</v>
      </c>
      <c r="E27" s="6" t="s">
        <v>372</v>
      </c>
      <c r="F27" s="6" t="s">
        <v>372</v>
      </c>
      <c r="G27" s="6" t="s">
        <v>372</v>
      </c>
      <c r="H27" s="6" t="s">
        <v>372</v>
      </c>
    </row>
    <row r="28" spans="1:8">
      <c r="A28" s="6" t="s">
        <v>15</v>
      </c>
      <c r="B28" s="6" t="s">
        <v>372</v>
      </c>
      <c r="C28" s="6" t="s">
        <v>372</v>
      </c>
      <c r="D28" s="6" t="s">
        <v>372</v>
      </c>
      <c r="E28" s="6" t="s">
        <v>372</v>
      </c>
      <c r="F28" s="6" t="s">
        <v>372</v>
      </c>
      <c r="G28" s="6" t="s">
        <v>372</v>
      </c>
      <c r="H28" s="6" t="s">
        <v>372</v>
      </c>
    </row>
    <row r="29" spans="1:8">
      <c r="A29" s="6" t="s">
        <v>6</v>
      </c>
      <c r="B29" s="6" t="s">
        <v>372</v>
      </c>
      <c r="C29" s="6" t="s">
        <v>372</v>
      </c>
      <c r="D29" s="6" t="s">
        <v>372</v>
      </c>
      <c r="E29" s="6" t="s">
        <v>372</v>
      </c>
      <c r="F29" s="6" t="s">
        <v>372</v>
      </c>
      <c r="G29" s="6" t="s">
        <v>372</v>
      </c>
      <c r="H29" s="6" t="s">
        <v>372</v>
      </c>
    </row>
    <row r="30" spans="1:8">
      <c r="A30" s="6" t="s">
        <v>38</v>
      </c>
      <c r="B30" s="6" t="s">
        <v>372</v>
      </c>
      <c r="C30" s="6" t="s">
        <v>372</v>
      </c>
      <c r="D30" s="6" t="s">
        <v>372</v>
      </c>
      <c r="E30" s="6" t="s">
        <v>372</v>
      </c>
      <c r="F30" s="6" t="s">
        <v>372</v>
      </c>
      <c r="G30" s="6" t="s">
        <v>372</v>
      </c>
      <c r="H30" s="6" t="s">
        <v>372</v>
      </c>
    </row>
    <row r="31" spans="1:8">
      <c r="A31" s="6" t="s">
        <v>7</v>
      </c>
      <c r="B31" s="6" t="s">
        <v>372</v>
      </c>
      <c r="C31" s="6" t="s">
        <v>372</v>
      </c>
      <c r="D31" s="6" t="s">
        <v>372</v>
      </c>
      <c r="E31" s="6" t="s">
        <v>372</v>
      </c>
      <c r="F31" s="6" t="s">
        <v>372</v>
      </c>
      <c r="G31" s="6" t="s">
        <v>372</v>
      </c>
      <c r="H31" s="6" t="s">
        <v>372</v>
      </c>
    </row>
    <row r="32" spans="1:8">
      <c r="A32" s="6" t="s">
        <v>8</v>
      </c>
      <c r="B32" s="6" t="s">
        <v>372</v>
      </c>
      <c r="C32" s="6" t="s">
        <v>372</v>
      </c>
      <c r="D32" s="6" t="s">
        <v>372</v>
      </c>
      <c r="E32" s="6" t="s">
        <v>372</v>
      </c>
      <c r="F32" s="6" t="s">
        <v>372</v>
      </c>
      <c r="G32" s="6" t="s">
        <v>372</v>
      </c>
      <c r="H32" s="6" t="s">
        <v>372</v>
      </c>
    </row>
    <row r="33" spans="1:8">
      <c r="A33" s="6" t="s">
        <v>20</v>
      </c>
      <c r="B33" s="6" t="s">
        <v>372</v>
      </c>
      <c r="C33" s="6" t="s">
        <v>372</v>
      </c>
      <c r="D33" s="6" t="s">
        <v>372</v>
      </c>
      <c r="E33" s="6" t="s">
        <v>372</v>
      </c>
      <c r="F33" s="6" t="s">
        <v>372</v>
      </c>
      <c r="G33" s="6" t="s">
        <v>372</v>
      </c>
      <c r="H33" s="6" t="s">
        <v>372</v>
      </c>
    </row>
    <row r="34" spans="1:8">
      <c r="A34" s="6" t="s">
        <v>26</v>
      </c>
      <c r="B34" s="6" t="s">
        <v>372</v>
      </c>
      <c r="C34" s="6" t="s">
        <v>372</v>
      </c>
      <c r="D34" s="6" t="s">
        <v>372</v>
      </c>
      <c r="E34" s="6" t="s">
        <v>372</v>
      </c>
      <c r="F34" s="6" t="s">
        <v>372</v>
      </c>
      <c r="G34" s="6" t="s">
        <v>372</v>
      </c>
      <c r="H34" s="6" t="s">
        <v>372</v>
      </c>
    </row>
    <row r="35" spans="1:8">
      <c r="A35" s="6" t="s">
        <v>27</v>
      </c>
      <c r="B35" s="6" t="s">
        <v>372</v>
      </c>
      <c r="C35" s="6" t="s">
        <v>372</v>
      </c>
      <c r="D35" s="6" t="s">
        <v>372</v>
      </c>
      <c r="E35" s="6" t="s">
        <v>372</v>
      </c>
      <c r="F35" s="6" t="s">
        <v>372</v>
      </c>
      <c r="G35" s="6" t="s">
        <v>372</v>
      </c>
      <c r="H35" s="6" t="s">
        <v>372</v>
      </c>
    </row>
    <row r="36" spans="1:8">
      <c r="A36" s="6" t="s">
        <v>44</v>
      </c>
      <c r="B36" s="6" t="s">
        <v>372</v>
      </c>
      <c r="C36" s="6" t="s">
        <v>372</v>
      </c>
      <c r="D36" s="6" t="s">
        <v>372</v>
      </c>
      <c r="E36" s="6" t="s">
        <v>372</v>
      </c>
      <c r="F36" s="6" t="s">
        <v>372</v>
      </c>
      <c r="G36" s="6" t="s">
        <v>372</v>
      </c>
      <c r="H36" s="6" t="s">
        <v>372</v>
      </c>
    </row>
    <row r="37" spans="1:8">
      <c r="A37" s="6" t="s">
        <v>198</v>
      </c>
      <c r="B37" s="6" t="s">
        <v>372</v>
      </c>
      <c r="C37" s="6" t="s">
        <v>372</v>
      </c>
      <c r="D37" s="6" t="s">
        <v>372</v>
      </c>
      <c r="E37" s="6" t="s">
        <v>372</v>
      </c>
      <c r="F37" s="6" t="s">
        <v>372</v>
      </c>
      <c r="G37" s="6" t="s">
        <v>372</v>
      </c>
      <c r="H37" s="6" t="s">
        <v>372</v>
      </c>
    </row>
    <row r="38" spans="1:8">
      <c r="A38" s="6" t="s">
        <v>39</v>
      </c>
      <c r="B38" s="6" t="s">
        <v>372</v>
      </c>
      <c r="C38" s="6" t="s">
        <v>372</v>
      </c>
      <c r="D38" s="6" t="s">
        <v>372</v>
      </c>
      <c r="E38" s="6" t="s">
        <v>372</v>
      </c>
      <c r="F38" s="6" t="s">
        <v>372</v>
      </c>
      <c r="G38" s="6" t="s">
        <v>372</v>
      </c>
      <c r="H38" s="6" t="s">
        <v>372</v>
      </c>
    </row>
    <row r="39" spans="1:8">
      <c r="A39" s="6" t="s">
        <v>16</v>
      </c>
      <c r="B39" s="6" t="s">
        <v>372</v>
      </c>
      <c r="C39" s="6" t="s">
        <v>372</v>
      </c>
      <c r="D39" s="6" t="s">
        <v>372</v>
      </c>
      <c r="E39" s="6" t="s">
        <v>372</v>
      </c>
      <c r="F39" s="6" t="s">
        <v>372</v>
      </c>
      <c r="G39" s="6" t="s">
        <v>372</v>
      </c>
      <c r="H39" s="6" t="s">
        <v>372</v>
      </c>
    </row>
    <row r="40" spans="1:8">
      <c r="A40" s="6" t="s">
        <v>28</v>
      </c>
      <c r="B40" s="6" t="s">
        <v>372</v>
      </c>
      <c r="C40" s="6" t="s">
        <v>372</v>
      </c>
      <c r="D40" s="6" t="s">
        <v>372</v>
      </c>
      <c r="E40" s="6" t="s">
        <v>372</v>
      </c>
      <c r="F40" s="6" t="s">
        <v>372</v>
      </c>
      <c r="G40" s="6" t="s">
        <v>372</v>
      </c>
      <c r="H40" s="6" t="s">
        <v>372</v>
      </c>
    </row>
    <row r="41" spans="1:8">
      <c r="A41" s="6" t="s">
        <v>30</v>
      </c>
      <c r="B41" s="6" t="s">
        <v>372</v>
      </c>
      <c r="C41" s="6" t="s">
        <v>372</v>
      </c>
      <c r="D41" s="6" t="s">
        <v>372</v>
      </c>
      <c r="E41" s="6" t="s">
        <v>372</v>
      </c>
      <c r="F41" s="6" t="s">
        <v>372</v>
      </c>
      <c r="G41" s="6" t="s">
        <v>372</v>
      </c>
      <c r="H41" s="6" t="s">
        <v>372</v>
      </c>
    </row>
    <row r="42" spans="1:8">
      <c r="A42" s="6" t="s">
        <v>31</v>
      </c>
      <c r="B42" s="6" t="s">
        <v>372</v>
      </c>
      <c r="C42" s="6" t="s">
        <v>372</v>
      </c>
      <c r="D42" s="6" t="s">
        <v>372</v>
      </c>
      <c r="E42" s="6" t="s">
        <v>372</v>
      </c>
      <c r="F42" s="6" t="s">
        <v>372</v>
      </c>
      <c r="G42" s="6" t="s">
        <v>372</v>
      </c>
      <c r="H42" s="6" t="s">
        <v>372</v>
      </c>
    </row>
    <row r="43" spans="1:8">
      <c r="A43" s="6" t="s">
        <v>32</v>
      </c>
      <c r="B43" s="6" t="s">
        <v>372</v>
      </c>
      <c r="C43" s="6" t="s">
        <v>372</v>
      </c>
      <c r="D43" s="6" t="s">
        <v>372</v>
      </c>
      <c r="E43" s="6" t="s">
        <v>372</v>
      </c>
      <c r="F43" s="6" t="s">
        <v>372</v>
      </c>
      <c r="G43" s="6" t="s">
        <v>372</v>
      </c>
      <c r="H43" s="6" t="s">
        <v>372</v>
      </c>
    </row>
    <row r="44" spans="1:8">
      <c r="A44" s="6" t="s">
        <v>33</v>
      </c>
      <c r="B44" s="6" t="s">
        <v>372</v>
      </c>
      <c r="C44" s="6" t="s">
        <v>372</v>
      </c>
      <c r="D44" s="6" t="s">
        <v>372</v>
      </c>
      <c r="E44" s="6" t="s">
        <v>372</v>
      </c>
      <c r="F44" s="6" t="s">
        <v>372</v>
      </c>
      <c r="G44" s="6" t="s">
        <v>372</v>
      </c>
      <c r="H44" s="6" t="s">
        <v>372</v>
      </c>
    </row>
    <row r="45" spans="1:8">
      <c r="A45" s="6" t="s">
        <v>29</v>
      </c>
      <c r="B45" s="6" t="s">
        <v>372</v>
      </c>
      <c r="C45" s="6" t="s">
        <v>372</v>
      </c>
      <c r="D45" s="6" t="s">
        <v>372</v>
      </c>
      <c r="E45" s="6" t="s">
        <v>372</v>
      </c>
      <c r="F45" s="6" t="s">
        <v>372</v>
      </c>
      <c r="G45" s="6" t="s">
        <v>372</v>
      </c>
      <c r="H45" s="6" t="s">
        <v>372</v>
      </c>
    </row>
    <row r="46" spans="1:8">
      <c r="A46" s="6" t="s">
        <v>97</v>
      </c>
      <c r="B46" s="6" t="s">
        <v>372</v>
      </c>
      <c r="C46" s="6" t="s">
        <v>372</v>
      </c>
      <c r="D46" s="6" t="s">
        <v>372</v>
      </c>
      <c r="E46" s="6" t="s">
        <v>372</v>
      </c>
      <c r="F46" s="6" t="s">
        <v>372</v>
      </c>
      <c r="G46" s="6" t="s">
        <v>372</v>
      </c>
      <c r="H46" s="6" t="s">
        <v>372</v>
      </c>
    </row>
    <row r="47" spans="1:8">
      <c r="A47" s="6" t="s">
        <v>17</v>
      </c>
      <c r="B47" s="6" t="s">
        <v>372</v>
      </c>
      <c r="C47" s="6" t="s">
        <v>372</v>
      </c>
      <c r="D47" s="6" t="s">
        <v>372</v>
      </c>
      <c r="E47" s="6" t="s">
        <v>372</v>
      </c>
      <c r="F47" s="6" t="s">
        <v>372</v>
      </c>
      <c r="G47" s="6" t="s">
        <v>372</v>
      </c>
      <c r="H47" s="6" t="s">
        <v>372</v>
      </c>
    </row>
    <row r="48" spans="1:8">
      <c r="A48" s="6" t="s">
        <v>9</v>
      </c>
      <c r="B48" s="6" t="s">
        <v>372</v>
      </c>
      <c r="C48" s="6" t="s">
        <v>372</v>
      </c>
      <c r="D48" s="6" t="s">
        <v>372</v>
      </c>
      <c r="E48" s="6" t="s">
        <v>372</v>
      </c>
      <c r="F48" s="6" t="s">
        <v>372</v>
      </c>
      <c r="G48" s="6" t="s">
        <v>372</v>
      </c>
      <c r="H48" s="6" t="s">
        <v>372</v>
      </c>
    </row>
    <row r="50" spans="1:8">
      <c r="A50" s="6" t="s">
        <v>99</v>
      </c>
      <c r="B50" s="6" t="s">
        <v>372</v>
      </c>
      <c r="C50" s="6" t="s">
        <v>372</v>
      </c>
      <c r="D50" s="6" t="s">
        <v>372</v>
      </c>
      <c r="E50" s="6" t="s">
        <v>372</v>
      </c>
      <c r="F50" s="6" t="s">
        <v>372</v>
      </c>
      <c r="G50" s="6" t="s">
        <v>372</v>
      </c>
      <c r="H50" s="6" t="s">
        <v>372</v>
      </c>
    </row>
    <row r="51" spans="1:8">
      <c r="A51" s="6" t="s">
        <v>100</v>
      </c>
      <c r="B51" s="6" t="s">
        <v>372</v>
      </c>
      <c r="C51" s="6" t="s">
        <v>372</v>
      </c>
      <c r="D51" s="6" t="s">
        <v>372</v>
      </c>
      <c r="E51" s="6" t="s">
        <v>372</v>
      </c>
      <c r="F51" s="6" t="s">
        <v>372</v>
      </c>
      <c r="G51" s="6" t="s">
        <v>372</v>
      </c>
      <c r="H51" s="6" t="s">
        <v>372</v>
      </c>
    </row>
    <row r="52" spans="1:8">
      <c r="A52" s="6" t="s">
        <v>101</v>
      </c>
      <c r="B52" s="6" t="s">
        <v>372</v>
      </c>
      <c r="C52" s="6" t="s">
        <v>372</v>
      </c>
      <c r="D52" s="6" t="s">
        <v>372</v>
      </c>
      <c r="E52" s="6" t="s">
        <v>372</v>
      </c>
      <c r="F52" s="6" t="s">
        <v>372</v>
      </c>
      <c r="G52" s="6" t="s">
        <v>372</v>
      </c>
      <c r="H52" s="6" t="s">
        <v>372</v>
      </c>
    </row>
    <row r="53" spans="1:8">
      <c r="A53" s="6" t="s">
        <v>102</v>
      </c>
      <c r="B53" s="6" t="s">
        <v>372</v>
      </c>
      <c r="C53" s="6" t="s">
        <v>372</v>
      </c>
      <c r="D53" s="6" t="s">
        <v>372</v>
      </c>
      <c r="E53" s="6" t="s">
        <v>372</v>
      </c>
      <c r="F53" s="6" t="s">
        <v>372</v>
      </c>
      <c r="G53" s="6" t="s">
        <v>372</v>
      </c>
      <c r="H53" s="6" t="s">
        <v>372</v>
      </c>
    </row>
    <row r="54" spans="1:8">
      <c r="A54" s="6" t="s">
        <v>93</v>
      </c>
      <c r="B54" s="6" t="s">
        <v>372</v>
      </c>
      <c r="C54" s="6" t="s">
        <v>372</v>
      </c>
      <c r="D54" s="6" t="s">
        <v>372</v>
      </c>
      <c r="E54" s="6" t="s">
        <v>372</v>
      </c>
      <c r="F54" s="6" t="s">
        <v>372</v>
      </c>
      <c r="G54" s="6" t="s">
        <v>372</v>
      </c>
      <c r="H54" s="6" t="s">
        <v>372</v>
      </c>
    </row>
    <row r="56" spans="1:8">
      <c r="A56" s="6" t="s">
        <v>279</v>
      </c>
    </row>
    <row r="57" spans="1:8">
      <c r="A57" s="6" t="s">
        <v>280</v>
      </c>
    </row>
    <row r="58" spans="1:8">
      <c r="A58" s="6" t="s">
        <v>281</v>
      </c>
    </row>
    <row r="59" spans="1:8">
      <c r="A59" s="6" t="s">
        <v>282</v>
      </c>
    </row>
    <row r="60" spans="1:8">
      <c r="A60" s="6" t="s">
        <v>283</v>
      </c>
    </row>
    <row r="61" spans="1:8">
      <c r="A61" s="6" t="s">
        <v>284</v>
      </c>
    </row>
    <row r="62" spans="1:8">
      <c r="A62" s="6" t="s">
        <v>285</v>
      </c>
    </row>
    <row r="63" spans="1:8">
      <c r="A63" s="6" t="s">
        <v>286</v>
      </c>
    </row>
    <row r="64" spans="1:8">
      <c r="A64" s="6" t="s">
        <v>287</v>
      </c>
    </row>
    <row r="65" spans="1:1">
      <c r="A65" s="6" t="s">
        <v>288</v>
      </c>
    </row>
    <row r="66" spans="1:1">
      <c r="A66" s="6" t="s">
        <v>289</v>
      </c>
    </row>
    <row r="67" spans="1:1">
      <c r="A67" s="6" t="s">
        <v>290</v>
      </c>
    </row>
    <row r="68" spans="1:1">
      <c r="A68" s="6" t="s">
        <v>291</v>
      </c>
    </row>
    <row r="69" spans="1:1">
      <c r="A69" s="6" t="s">
        <v>292</v>
      </c>
    </row>
    <row r="70" spans="1:1">
      <c r="A70" s="6" t="s">
        <v>293</v>
      </c>
    </row>
    <row r="71" spans="1:1">
      <c r="A71" s="6" t="s">
        <v>294</v>
      </c>
    </row>
    <row r="72" spans="1:1">
      <c r="A72" s="6" t="s">
        <v>295</v>
      </c>
    </row>
    <row r="73" spans="1:1">
      <c r="A73" s="6" t="s">
        <v>296</v>
      </c>
    </row>
    <row r="74" spans="1:1">
      <c r="A74" s="6" t="s">
        <v>297</v>
      </c>
    </row>
    <row r="75" spans="1:1">
      <c r="A75" s="6" t="s">
        <v>298</v>
      </c>
    </row>
    <row r="76" spans="1:1">
      <c r="A76" s="6" t="s">
        <v>299</v>
      </c>
    </row>
    <row r="77" spans="1:1">
      <c r="A77" s="6" t="s">
        <v>300</v>
      </c>
    </row>
    <row r="78" spans="1:1">
      <c r="A78" s="6" t="s">
        <v>301</v>
      </c>
    </row>
    <row r="79" spans="1:1">
      <c r="A79" s="6" t="s">
        <v>302</v>
      </c>
    </row>
    <row r="80" spans="1:1">
      <c r="A80" s="6" t="s">
        <v>303</v>
      </c>
    </row>
    <row r="81" spans="1:1">
      <c r="A81" s="6" t="s">
        <v>304</v>
      </c>
    </row>
    <row r="82" spans="1:1">
      <c r="A82" s="6" t="s">
        <v>305</v>
      </c>
    </row>
    <row r="83" spans="1:1">
      <c r="A83" s="6" t="s">
        <v>306</v>
      </c>
    </row>
    <row r="84" spans="1:1">
      <c r="A84" s="6" t="s">
        <v>307</v>
      </c>
    </row>
    <row r="85" spans="1:1">
      <c r="A85" s="6" t="s">
        <v>308</v>
      </c>
    </row>
    <row r="86" spans="1:1">
      <c r="A86" s="6" t="s">
        <v>309</v>
      </c>
    </row>
    <row r="87" spans="1:1">
      <c r="A87" s="6" t="s">
        <v>310</v>
      </c>
    </row>
    <row r="88" spans="1:1">
      <c r="A88" s="6" t="s">
        <v>311</v>
      </c>
    </row>
    <row r="89" spans="1:1">
      <c r="A89" s="6" t="s">
        <v>312</v>
      </c>
    </row>
    <row r="90" spans="1:1">
      <c r="A90" s="6" t="s">
        <v>313</v>
      </c>
    </row>
    <row r="91" spans="1:1">
      <c r="A91" s="6" t="s">
        <v>314</v>
      </c>
    </row>
    <row r="92" spans="1:1">
      <c r="A92" s="6" t="s">
        <v>315</v>
      </c>
    </row>
    <row r="93" spans="1:1">
      <c r="A93" s="6" t="s">
        <v>316</v>
      </c>
    </row>
    <row r="94" spans="1:1">
      <c r="A94" s="6" t="s">
        <v>317</v>
      </c>
    </row>
    <row r="95" spans="1:1">
      <c r="A95" s="6" t="s">
        <v>318</v>
      </c>
    </row>
    <row r="96" spans="1:1">
      <c r="A96" s="6" t="s">
        <v>319</v>
      </c>
    </row>
    <row r="97" spans="1:1">
      <c r="A97" s="6" t="s">
        <v>320</v>
      </c>
    </row>
    <row r="98" spans="1:1">
      <c r="A98" s="6" t="s">
        <v>321</v>
      </c>
    </row>
    <row r="99" spans="1:1">
      <c r="A99" s="6" t="s">
        <v>322</v>
      </c>
    </row>
    <row r="100" spans="1:1">
      <c r="A100" s="6" t="s">
        <v>323</v>
      </c>
    </row>
    <row r="101" spans="1:1">
      <c r="A101" s="6" t="s">
        <v>324</v>
      </c>
    </row>
    <row r="102" spans="1:1">
      <c r="A102" s="6" t="s">
        <v>325</v>
      </c>
    </row>
    <row r="103" spans="1:1">
      <c r="A103" s="6" t="s">
        <v>326</v>
      </c>
    </row>
    <row r="104" spans="1:1">
      <c r="A104" s="6" t="s">
        <v>327</v>
      </c>
    </row>
    <row r="105" spans="1:1">
      <c r="A105" s="6" t="s">
        <v>328</v>
      </c>
    </row>
    <row r="106" spans="1:1">
      <c r="A106" s="6" t="s">
        <v>329</v>
      </c>
    </row>
    <row r="107" spans="1:1">
      <c r="A107" s="6" t="s">
        <v>330</v>
      </c>
    </row>
    <row r="108" spans="1:1">
      <c r="A108" s="6" t="s">
        <v>331</v>
      </c>
    </row>
    <row r="109" spans="1:1">
      <c r="A109" s="6" t="s">
        <v>332</v>
      </c>
    </row>
    <row r="110" spans="1:1">
      <c r="A110" s="6" t="s">
        <v>333</v>
      </c>
    </row>
    <row r="111" spans="1:1">
      <c r="A111" s="6" t="s">
        <v>334</v>
      </c>
    </row>
    <row r="112" spans="1:1">
      <c r="A112" s="6" t="s">
        <v>335</v>
      </c>
    </row>
    <row r="113" spans="1:1">
      <c r="A113" s="6" t="s">
        <v>336</v>
      </c>
    </row>
    <row r="114" spans="1:1">
      <c r="A114" s="6" t="s">
        <v>337</v>
      </c>
    </row>
    <row r="115" spans="1:1">
      <c r="A115" s="6" t="s">
        <v>338</v>
      </c>
    </row>
    <row r="116" spans="1:1">
      <c r="A116" s="6" t="s">
        <v>339</v>
      </c>
    </row>
    <row r="117" spans="1:1">
      <c r="A117" s="6" t="s">
        <v>340</v>
      </c>
    </row>
    <row r="118" spans="1:1">
      <c r="A118" s="6" t="s">
        <v>341</v>
      </c>
    </row>
    <row r="119" spans="1:1">
      <c r="A119" s="6" t="s">
        <v>342</v>
      </c>
    </row>
    <row r="120" spans="1:1">
      <c r="A120" s="6" t="s">
        <v>343</v>
      </c>
    </row>
    <row r="121" spans="1:1">
      <c r="A121" s="6" t="s">
        <v>344</v>
      </c>
    </row>
    <row r="122" spans="1:1">
      <c r="A122" s="6" t="s">
        <v>345</v>
      </c>
    </row>
    <row r="123" spans="1:1">
      <c r="A123" s="6" t="s">
        <v>346</v>
      </c>
    </row>
    <row r="124" spans="1:1">
      <c r="A124" s="6" t="s">
        <v>347</v>
      </c>
    </row>
    <row r="125" spans="1:1">
      <c r="A125" s="6" t="s">
        <v>348</v>
      </c>
    </row>
    <row r="126" spans="1:1">
      <c r="A126" s="6" t="s">
        <v>349</v>
      </c>
    </row>
    <row r="127" spans="1:1">
      <c r="A127" s="6" t="s">
        <v>350</v>
      </c>
    </row>
    <row r="128" spans="1:1">
      <c r="A128" s="6" t="s">
        <v>351</v>
      </c>
    </row>
    <row r="129" spans="1:1">
      <c r="A129" s="6" t="s">
        <v>352</v>
      </c>
    </row>
    <row r="130" spans="1:1">
      <c r="A130" s="6" t="s">
        <v>353</v>
      </c>
    </row>
    <row r="131" spans="1:1">
      <c r="A131" s="6" t="s">
        <v>354</v>
      </c>
    </row>
    <row r="132" spans="1:1">
      <c r="A132" s="6" t="s">
        <v>355</v>
      </c>
    </row>
    <row r="133" spans="1:1">
      <c r="A133" s="6" t="s">
        <v>356</v>
      </c>
    </row>
    <row r="134" spans="1:1">
      <c r="A134" s="6" t="s">
        <v>357</v>
      </c>
    </row>
    <row r="135" spans="1:1">
      <c r="A135" s="6" t="s">
        <v>358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" workbookViewId="0">
      <selection activeCell="N10" sqref="N10"/>
    </sheetView>
  </sheetViews>
  <sheetFormatPr baseColWidth="10" defaultColWidth="11.5" defaultRowHeight="14" x14ac:dyDescent="0"/>
  <cols>
    <col min="1" max="1" width="16.33203125" bestFit="1" customWidth="1"/>
  </cols>
  <sheetData>
    <row r="1" spans="1:14">
      <c r="A1" s="7" t="s">
        <v>40</v>
      </c>
      <c r="B1" s="73" t="s">
        <v>43</v>
      </c>
      <c r="C1" s="73" t="s">
        <v>41</v>
      </c>
      <c r="D1" s="73" t="s">
        <v>42</v>
      </c>
      <c r="E1" s="73" t="s">
        <v>56</v>
      </c>
      <c r="F1" s="73" t="s">
        <v>88</v>
      </c>
      <c r="G1" s="73" t="s">
        <v>90</v>
      </c>
      <c r="H1" s="73" t="s">
        <v>89</v>
      </c>
      <c r="I1" s="154" t="s">
        <v>61</v>
      </c>
      <c r="J1" s="154" t="s">
        <v>62</v>
      </c>
      <c r="K1" s="154" t="s">
        <v>63</v>
      </c>
      <c r="L1" s="154" t="s">
        <v>64</v>
      </c>
      <c r="M1" s="154" t="s">
        <v>65</v>
      </c>
      <c r="N1" s="154" t="s">
        <v>66</v>
      </c>
    </row>
    <row r="2" spans="1:14">
      <c r="A2" s="6" t="s">
        <v>473</v>
      </c>
      <c r="B2" s="3">
        <v>1</v>
      </c>
      <c r="C2" s="3">
        <v>6</v>
      </c>
      <c r="D2" s="3">
        <v>6</v>
      </c>
      <c r="E2" s="3">
        <v>4</v>
      </c>
      <c r="F2" s="5">
        <f>2+ROUNDDOWN(level/2,0)</f>
        <v>2</v>
      </c>
      <c r="G2" s="5">
        <f>2+ROUNDDOWN(level/2,0)</f>
        <v>2</v>
      </c>
      <c r="H2" s="5">
        <f>ROUNDDOWN(level/3,0)</f>
        <v>0</v>
      </c>
      <c r="I2" s="155">
        <v>12</v>
      </c>
      <c r="J2" s="155">
        <v>16</v>
      </c>
      <c r="K2" s="155">
        <v>13</v>
      </c>
      <c r="L2" s="155">
        <v>7</v>
      </c>
      <c r="M2" s="155">
        <v>10</v>
      </c>
      <c r="N2" s="155">
        <v>11</v>
      </c>
    </row>
    <row r="3" spans="1:14">
      <c r="A3" t="s">
        <v>472</v>
      </c>
      <c r="B3" s="3">
        <v>1</v>
      </c>
      <c r="C3" s="3">
        <v>6</v>
      </c>
      <c r="D3" s="3">
        <v>6</v>
      </c>
      <c r="E3" s="3">
        <v>4</v>
      </c>
      <c r="F3" s="5">
        <f>ROUNDDOWN(level/3,0)</f>
        <v>0</v>
      </c>
      <c r="G3" s="5">
        <f>2+ROUNDDOWN(level/2,0)</f>
        <v>2</v>
      </c>
      <c r="H3" s="5">
        <f>2+ROUNDDOWN(level/2,0)</f>
        <v>2</v>
      </c>
      <c r="I3" s="155">
        <v>16</v>
      </c>
      <c r="J3" s="155">
        <v>12</v>
      </c>
      <c r="K3" s="155">
        <v>13</v>
      </c>
      <c r="L3" s="155">
        <v>7</v>
      </c>
      <c r="M3" s="155">
        <v>10</v>
      </c>
      <c r="N3" s="155">
        <v>11</v>
      </c>
    </row>
    <row r="4" spans="1:14">
      <c r="A4" s="6" t="s">
        <v>474</v>
      </c>
      <c r="B4" s="3">
        <v>1</v>
      </c>
      <c r="C4" s="3">
        <v>6</v>
      </c>
      <c r="D4" s="3">
        <v>6</v>
      </c>
      <c r="E4" s="3">
        <v>4</v>
      </c>
      <c r="F4" s="5">
        <f>2+ROUNDDOWN(level/2,0)</f>
        <v>2</v>
      </c>
      <c r="G4" s="5">
        <f>ROUNDDOWN(level/3,0)</f>
        <v>0</v>
      </c>
      <c r="H4" s="5">
        <f>2+ROUNDDOWN(level/2,0)</f>
        <v>2</v>
      </c>
      <c r="I4" s="155">
        <v>16</v>
      </c>
      <c r="J4" s="155">
        <v>12</v>
      </c>
      <c r="K4" s="155">
        <v>13</v>
      </c>
      <c r="L4" s="155">
        <v>7</v>
      </c>
      <c r="M4" s="155">
        <v>10</v>
      </c>
      <c r="N4" s="155">
        <v>11</v>
      </c>
    </row>
    <row r="5" spans="1:14">
      <c r="A5" s="6" t="s">
        <v>475</v>
      </c>
      <c r="B5" s="3">
        <v>1</v>
      </c>
      <c r="C5" s="3">
        <v>6</v>
      </c>
      <c r="D5" s="3">
        <v>6</v>
      </c>
      <c r="E5" s="3">
        <v>4</v>
      </c>
      <c r="F5" s="5">
        <f>2+ROUNDDOWN(level/2,0)</f>
        <v>2</v>
      </c>
      <c r="G5" s="5">
        <f>2+ROUNDDOWN(level/2,0)</f>
        <v>2</v>
      </c>
      <c r="H5" s="5">
        <f>ROUNDDOWN(level/3,0)</f>
        <v>0</v>
      </c>
      <c r="I5" s="155">
        <v>14</v>
      </c>
      <c r="J5" s="155">
        <v>14</v>
      </c>
      <c r="K5" s="155">
        <v>13</v>
      </c>
      <c r="L5" s="155">
        <v>7</v>
      </c>
      <c r="M5" s="155">
        <v>10</v>
      </c>
      <c r="N5" s="155">
        <v>11</v>
      </c>
    </row>
    <row r="6" spans="1:14">
      <c r="A6" s="6" t="s">
        <v>476</v>
      </c>
      <c r="B6" s="3">
        <v>1</v>
      </c>
      <c r="C6" s="3">
        <v>6</v>
      </c>
      <c r="D6" s="3">
        <v>6</v>
      </c>
      <c r="E6" s="3">
        <v>4</v>
      </c>
      <c r="F6" s="5">
        <f>ROUNDDOWN(level/3,0)</f>
        <v>0</v>
      </c>
      <c r="G6" s="5">
        <f>2+ROUNDDOWN(level/2,0)</f>
        <v>2</v>
      </c>
      <c r="H6" s="5">
        <f>2+ROUNDDOWN(level/2,0)</f>
        <v>2</v>
      </c>
      <c r="I6" s="155">
        <v>12</v>
      </c>
      <c r="J6" s="155">
        <v>16</v>
      </c>
      <c r="K6" s="155">
        <v>13</v>
      </c>
      <c r="L6" s="155">
        <v>7</v>
      </c>
      <c r="M6" s="155">
        <v>10</v>
      </c>
      <c r="N6" s="155">
        <v>11</v>
      </c>
    </row>
    <row r="7" spans="1:14">
      <c r="A7" t="s">
        <v>477</v>
      </c>
      <c r="B7" s="3">
        <v>1</v>
      </c>
      <c r="C7" s="3">
        <v>6</v>
      </c>
      <c r="D7" s="3">
        <v>6</v>
      </c>
      <c r="E7" s="3">
        <v>4</v>
      </c>
      <c r="F7" s="5">
        <f>2+ROUNDDOWN(level/2,0)</f>
        <v>2</v>
      </c>
      <c r="G7" s="5">
        <f>ROUNDDOWN(level/3,0)</f>
        <v>0</v>
      </c>
      <c r="H7" s="5">
        <f>2+ROUNDDOWN(level/2,0)</f>
        <v>2</v>
      </c>
      <c r="I7" s="155">
        <v>14</v>
      </c>
      <c r="J7" s="155">
        <v>14</v>
      </c>
      <c r="K7" s="155">
        <v>13</v>
      </c>
      <c r="L7" s="155">
        <v>7</v>
      </c>
      <c r="M7" s="155">
        <v>10</v>
      </c>
      <c r="N7" s="155">
        <v>11</v>
      </c>
    </row>
    <row r="9" spans="1:14">
      <c r="A9" s="6" t="s">
        <v>478</v>
      </c>
      <c r="B9" s="3">
        <v>0.75</v>
      </c>
      <c r="C9" s="3">
        <v>5</v>
      </c>
      <c r="D9" s="3">
        <v>5</v>
      </c>
      <c r="E9" s="3">
        <v>1</v>
      </c>
      <c r="F9" s="5">
        <f t="shared" ref="F9:G27" si="0">2+ROUNDDOWN(level/2,0)</f>
        <v>2</v>
      </c>
      <c r="G9" s="5">
        <f t="shared" si="0"/>
        <v>2</v>
      </c>
      <c r="H9" s="5">
        <f t="shared" ref="H9:H27" si="1">ROUNDDOWN(level/3,0)</f>
        <v>0</v>
      </c>
      <c r="I9" s="155">
        <v>10</v>
      </c>
      <c r="J9" s="155">
        <v>17</v>
      </c>
      <c r="K9" s="155">
        <v>15</v>
      </c>
      <c r="L9" s="155">
        <v>2</v>
      </c>
      <c r="M9" s="155">
        <v>12</v>
      </c>
      <c r="N9" s="155">
        <v>10</v>
      </c>
    </row>
    <row r="10" spans="1:14">
      <c r="B10" s="3">
        <v>0.75</v>
      </c>
      <c r="C10" s="3">
        <v>5</v>
      </c>
      <c r="D10" s="3">
        <v>5</v>
      </c>
      <c r="E10" s="3">
        <v>1</v>
      </c>
      <c r="F10" s="5">
        <f t="shared" si="0"/>
        <v>2</v>
      </c>
      <c r="G10" s="5">
        <f t="shared" si="0"/>
        <v>2</v>
      </c>
      <c r="H10" s="5">
        <f t="shared" si="1"/>
        <v>0</v>
      </c>
    </row>
    <row r="11" spans="1:14">
      <c r="B11" s="3">
        <v>0.75</v>
      </c>
      <c r="C11" s="3">
        <v>5</v>
      </c>
      <c r="D11" s="3">
        <v>5</v>
      </c>
      <c r="E11" s="3">
        <v>1</v>
      </c>
      <c r="F11" s="5">
        <f t="shared" si="0"/>
        <v>2</v>
      </c>
      <c r="G11" s="5">
        <f t="shared" si="0"/>
        <v>2</v>
      </c>
      <c r="H11" s="5">
        <f t="shared" si="1"/>
        <v>0</v>
      </c>
    </row>
    <row r="12" spans="1:14">
      <c r="B12" s="3">
        <v>0.75</v>
      </c>
      <c r="C12" s="3">
        <v>5</v>
      </c>
      <c r="D12" s="3">
        <v>5</v>
      </c>
      <c r="E12" s="3">
        <v>1</v>
      </c>
      <c r="F12" s="5">
        <f t="shared" si="0"/>
        <v>2</v>
      </c>
      <c r="G12" s="5">
        <f t="shared" si="0"/>
        <v>2</v>
      </c>
      <c r="H12" s="5">
        <f t="shared" si="1"/>
        <v>0</v>
      </c>
    </row>
    <row r="13" spans="1:14">
      <c r="B13" s="3">
        <v>0.75</v>
      </c>
      <c r="C13" s="3">
        <v>5</v>
      </c>
      <c r="D13" s="3">
        <v>5</v>
      </c>
      <c r="E13" s="3">
        <v>1</v>
      </c>
      <c r="F13" s="5">
        <f t="shared" si="0"/>
        <v>2</v>
      </c>
      <c r="G13" s="5">
        <f t="shared" si="0"/>
        <v>2</v>
      </c>
      <c r="H13" s="5">
        <f t="shared" si="1"/>
        <v>0</v>
      </c>
    </row>
    <row r="14" spans="1:14">
      <c r="B14" s="3">
        <v>0.75</v>
      </c>
      <c r="C14" s="3">
        <v>5</v>
      </c>
      <c r="D14" s="3">
        <v>5</v>
      </c>
      <c r="E14" s="3">
        <v>1</v>
      </c>
      <c r="F14" s="5">
        <f t="shared" si="0"/>
        <v>2</v>
      </c>
      <c r="G14" s="5">
        <f t="shared" si="0"/>
        <v>2</v>
      </c>
      <c r="H14" s="5">
        <f t="shared" si="1"/>
        <v>0</v>
      </c>
    </row>
    <row r="15" spans="1:14">
      <c r="B15" s="3">
        <v>0.75</v>
      </c>
      <c r="C15" s="3">
        <v>5</v>
      </c>
      <c r="D15" s="3">
        <v>5</v>
      </c>
      <c r="E15" s="3">
        <v>1</v>
      </c>
      <c r="F15" s="5">
        <f t="shared" si="0"/>
        <v>2</v>
      </c>
      <c r="G15" s="5">
        <f t="shared" si="0"/>
        <v>2</v>
      </c>
      <c r="H15" s="5">
        <f t="shared" si="1"/>
        <v>0</v>
      </c>
    </row>
    <row r="16" spans="1:14">
      <c r="B16" s="3">
        <v>0.75</v>
      </c>
      <c r="C16" s="3">
        <v>5</v>
      </c>
      <c r="D16" s="3">
        <v>5</v>
      </c>
      <c r="E16" s="3">
        <v>1</v>
      </c>
      <c r="F16" s="5">
        <f t="shared" si="0"/>
        <v>2</v>
      </c>
      <c r="G16" s="5">
        <f t="shared" si="0"/>
        <v>2</v>
      </c>
      <c r="H16" s="5">
        <f t="shared" si="1"/>
        <v>0</v>
      </c>
    </row>
    <row r="17" spans="2:8">
      <c r="B17" s="3">
        <v>0.75</v>
      </c>
      <c r="C17" s="3">
        <v>5</v>
      </c>
      <c r="D17" s="3">
        <v>5</v>
      </c>
      <c r="E17" s="3">
        <v>1</v>
      </c>
      <c r="F17" s="5">
        <f t="shared" si="0"/>
        <v>2</v>
      </c>
      <c r="G17" s="5">
        <f t="shared" si="0"/>
        <v>2</v>
      </c>
      <c r="H17" s="5">
        <f t="shared" si="1"/>
        <v>0</v>
      </c>
    </row>
    <row r="18" spans="2:8">
      <c r="B18" s="3">
        <v>0.75</v>
      </c>
      <c r="C18" s="3">
        <v>5</v>
      </c>
      <c r="D18" s="3">
        <v>5</v>
      </c>
      <c r="E18" s="3">
        <v>1</v>
      </c>
      <c r="F18" s="5">
        <f t="shared" si="0"/>
        <v>2</v>
      </c>
      <c r="G18" s="5">
        <f t="shared" si="0"/>
        <v>2</v>
      </c>
      <c r="H18" s="5">
        <f t="shared" si="1"/>
        <v>0</v>
      </c>
    </row>
    <row r="19" spans="2:8">
      <c r="B19" s="3">
        <v>0.75</v>
      </c>
      <c r="C19" s="3">
        <v>5</v>
      </c>
      <c r="D19" s="3">
        <v>5</v>
      </c>
      <c r="E19" s="3">
        <v>1</v>
      </c>
      <c r="F19" s="5">
        <f t="shared" si="0"/>
        <v>2</v>
      </c>
      <c r="G19" s="5">
        <f t="shared" si="0"/>
        <v>2</v>
      </c>
      <c r="H19" s="5">
        <f t="shared" si="1"/>
        <v>0</v>
      </c>
    </row>
    <row r="20" spans="2:8">
      <c r="B20" s="3">
        <v>0.75</v>
      </c>
      <c r="C20" s="3">
        <v>5</v>
      </c>
      <c r="D20" s="3">
        <v>5</v>
      </c>
      <c r="E20" s="3">
        <v>1</v>
      </c>
      <c r="F20" s="5">
        <f t="shared" si="0"/>
        <v>2</v>
      </c>
      <c r="G20" s="5">
        <f t="shared" si="0"/>
        <v>2</v>
      </c>
      <c r="H20" s="5">
        <f t="shared" si="1"/>
        <v>0</v>
      </c>
    </row>
    <row r="21" spans="2:8">
      <c r="B21" s="3">
        <v>0.75</v>
      </c>
      <c r="C21" s="3">
        <v>5</v>
      </c>
      <c r="D21" s="3">
        <v>5</v>
      </c>
      <c r="E21" s="3">
        <v>1</v>
      </c>
      <c r="F21" s="5">
        <f t="shared" si="0"/>
        <v>2</v>
      </c>
      <c r="G21" s="5">
        <f t="shared" si="0"/>
        <v>2</v>
      </c>
      <c r="H21" s="5">
        <f t="shared" si="1"/>
        <v>0</v>
      </c>
    </row>
    <row r="22" spans="2:8">
      <c r="B22" s="3">
        <v>0.75</v>
      </c>
      <c r="C22" s="3">
        <v>5</v>
      </c>
      <c r="D22" s="3">
        <v>5</v>
      </c>
      <c r="E22" s="3">
        <v>1</v>
      </c>
      <c r="F22" s="5">
        <f t="shared" si="0"/>
        <v>2</v>
      </c>
      <c r="G22" s="5">
        <f t="shared" si="0"/>
        <v>2</v>
      </c>
      <c r="H22" s="5">
        <f t="shared" si="1"/>
        <v>0</v>
      </c>
    </row>
    <row r="23" spans="2:8">
      <c r="B23" s="3">
        <v>0.75</v>
      </c>
      <c r="C23" s="3">
        <v>5</v>
      </c>
      <c r="D23" s="3">
        <v>5</v>
      </c>
      <c r="E23" s="3">
        <v>1</v>
      </c>
      <c r="F23" s="5">
        <f t="shared" si="0"/>
        <v>2</v>
      </c>
      <c r="G23" s="5">
        <f t="shared" si="0"/>
        <v>2</v>
      </c>
      <c r="H23" s="5">
        <f t="shared" si="1"/>
        <v>0</v>
      </c>
    </row>
    <row r="24" spans="2:8">
      <c r="B24" s="3">
        <v>0.75</v>
      </c>
      <c r="C24" s="3">
        <v>5</v>
      </c>
      <c r="D24" s="3">
        <v>5</v>
      </c>
      <c r="E24" s="3">
        <v>1</v>
      </c>
      <c r="F24" s="5">
        <f t="shared" si="0"/>
        <v>2</v>
      </c>
      <c r="G24" s="5">
        <f t="shared" si="0"/>
        <v>2</v>
      </c>
      <c r="H24" s="5">
        <f t="shared" si="1"/>
        <v>0</v>
      </c>
    </row>
    <row r="25" spans="2:8">
      <c r="B25" s="3">
        <v>0.75</v>
      </c>
      <c r="C25" s="3">
        <v>5</v>
      </c>
      <c r="D25" s="3">
        <v>5</v>
      </c>
      <c r="E25" s="3">
        <v>1</v>
      </c>
      <c r="F25" s="5">
        <f t="shared" si="0"/>
        <v>2</v>
      </c>
      <c r="G25" s="5">
        <f t="shared" si="0"/>
        <v>2</v>
      </c>
      <c r="H25" s="5">
        <f t="shared" si="1"/>
        <v>0</v>
      </c>
    </row>
    <row r="26" spans="2:8">
      <c r="B26" s="3">
        <v>0.75</v>
      </c>
      <c r="C26" s="3">
        <v>5</v>
      </c>
      <c r="D26" s="3">
        <v>5</v>
      </c>
      <c r="E26" s="3">
        <v>1</v>
      </c>
      <c r="F26" s="5">
        <f t="shared" si="0"/>
        <v>2</v>
      </c>
      <c r="G26" s="5">
        <f t="shared" si="0"/>
        <v>2</v>
      </c>
      <c r="H26" s="5">
        <f t="shared" si="1"/>
        <v>0</v>
      </c>
    </row>
    <row r="27" spans="2:8">
      <c r="B27" s="3">
        <v>0.75</v>
      </c>
      <c r="C27" s="3">
        <v>5</v>
      </c>
      <c r="D27" s="3">
        <v>5</v>
      </c>
      <c r="E27" s="3">
        <v>1</v>
      </c>
      <c r="F27" s="5">
        <f t="shared" si="0"/>
        <v>2</v>
      </c>
      <c r="G27" s="5">
        <f t="shared" si="0"/>
        <v>2</v>
      </c>
      <c r="H27" s="5">
        <f t="shared" si="1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Basic Sheet</vt:lpstr>
      <vt:lpstr>Spells</vt:lpstr>
      <vt:lpstr>Gear</vt:lpstr>
      <vt:lpstr>Background</vt:lpstr>
      <vt:lpstr>Notes</vt:lpstr>
      <vt:lpstr>vals</vt:lpstr>
      <vt:lpstr>version</vt:lpstr>
      <vt:lpstr>test cases</vt:lpstr>
      <vt:lpstr>companion vals</vt:lpstr>
    </vt:vector>
  </TitlesOfParts>
  <Company>NJM Insurance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Eaves, Lydia</dc:creator>
  <cp:lastModifiedBy>Lydia Eaves</cp:lastModifiedBy>
  <cp:lastPrinted>2015-12-21T01:04:57Z</cp:lastPrinted>
  <dcterms:created xsi:type="dcterms:W3CDTF">2015-08-18T11:32:33Z</dcterms:created>
  <dcterms:modified xsi:type="dcterms:W3CDTF">2020-10-02T14:16:35Z</dcterms:modified>
</cp:coreProperties>
</file>